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SuzyKuo(PBO)\Downloads\"/>
    </mc:Choice>
  </mc:AlternateContent>
  <xr:revisionPtr revIDLastSave="0" documentId="13_ncr:1_{0DB3C0D7-7597-4AC6-AE6C-D476913D4DAD}" xr6:coauthVersionLast="47" xr6:coauthVersionMax="47" xr10:uidLastSave="{00000000-0000-0000-0000-000000000000}"/>
  <bookViews>
    <workbookView xWindow="28680" yWindow="-120" windowWidth="51840" windowHeight="21120" xr2:uid="{00000000-000D-0000-FFFF-FFFF00000000}"/>
  </bookViews>
  <sheets>
    <sheet name="Table of contents" sheetId="1" r:id="rId1"/>
    <sheet name="Chart 1" sheetId="2" r:id="rId2"/>
    <sheet name="Table 1" sheetId="6" r:id="rId3"/>
    <sheet name="Chart 2" sheetId="3" r:id="rId4"/>
    <sheet name="Chart 3" sheetId="4" r:id="rId5"/>
    <sheet name="Chart 4" sheetId="5" r:id="rId6"/>
    <sheet name="Table 2&amp;3" sheetId="13" r:id="rId7"/>
    <sheet name="Chart 5" sheetId="12" r:id="rId8"/>
    <sheet name="Table 4&amp;5" sheetId="16" r:id="rId9"/>
    <sheet name="Table 4a&amp;5a" sheetId="14" r:id="rId10"/>
    <sheet name="Interactive charts" sheetId="15" r:id="rId11"/>
  </sheets>
  <definedNames>
    <definedName name="_xlpm.p0" hidden="1">#NAME?</definedName>
    <definedName name="caarl_lookup">_xlfn.LAMBDA(_xlpm.round_identifier,_xlpm.line_item,_xlpm.measure,_xlpm.date,_xlpm.if_error, IFERROR( IF( ISNUMBER(CUBEVALUE("ThisWorkbookDataModel","[v_caarl_legacy].[round_identifier].&amp;["&amp;_xlpm.round_identifier&amp;"]","[v_caarl_legacy].[line_item].&amp;["&amp;_xlpm.line_item&amp;"]","[v_caarl_legacy].[measure].&amp;["&amp;_xlpm.measure&amp;"]","[v_caarl_legacy].[date].&amp;["&amp;_xlpm.date&amp;"]",CUBEMEMBER("ThisWorkbookDataModel","[Measures].[Sum of value]"))), CUBEVALUE("ThisWorkbookDataModel","[v_caarl_legacy].[round_identifier].&amp;["&amp;_xlpm.round_identifier&amp;"]","[v_caarl_legacy].[line_item].&amp;["&amp;_xlpm.line_item&amp;"]","[v_caarl_legacy].[measure].&amp;["&amp;_xlpm.measure&amp;"]","[v_caarl_legacy].[date].&amp;["&amp;_xlpm.date&amp;"]",CUBEMEMBER("ThisWorkbookDataModel","[Measures].[Sum of value]")),NA() ),  _xlpm.if_error))</definedName>
    <definedName name="Datarange">#REF!</definedName>
    <definedName name="DataYearRange">OFFSET(#REF!,0,0,,COUNTA(#REF!)-10)</definedName>
    <definedName name="Lineitem">INDIRECT("Data!$I$1:$I$"&amp;Datarange)</definedName>
    <definedName name="Measure">INDIRECT("Data!$J$1:$J$"&amp;Datarange)</definedName>
    <definedName name="roundidentifier">INDIRECT("Data!$F$1:$F$"&amp;Datarange)</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K4" i="15" l="1" a="1"/>
  <c r="K4" i="15" s="1"/>
  <c r="J48" i="15"/>
  <c r="J47" i="15"/>
  <c r="J46" i="15"/>
  <c r="J45" i="15"/>
  <c r="J44" i="15"/>
  <c r="J43" i="15"/>
  <c r="J42" i="15"/>
  <c r="J41" i="15"/>
  <c r="J40" i="15"/>
  <c r="J39" i="15"/>
  <c r="J38" i="15"/>
  <c r="J37" i="15"/>
  <c r="J36" i="15"/>
  <c r="J35" i="15"/>
  <c r="J34" i="15"/>
  <c r="J33" i="15"/>
  <c r="J32" i="15"/>
  <c r="J31" i="15"/>
  <c r="J30" i="15"/>
  <c r="J29" i="15"/>
  <c r="J28" i="15"/>
  <c r="J27" i="15"/>
  <c r="J26" i="15"/>
  <c r="J25" i="15"/>
  <c r="J24" i="15"/>
  <c r="J23" i="15"/>
  <c r="J22" i="15"/>
  <c r="J21" i="15"/>
  <c r="J20" i="15"/>
  <c r="J19" i="15"/>
  <c r="K18" i="15" a="1"/>
  <c r="K18" i="15" s="1"/>
  <c r="J18" i="15"/>
  <c r="J17" i="15"/>
  <c r="J16" i="15"/>
  <c r="J15" i="15"/>
  <c r="J14" i="15"/>
  <c r="J13" i="15"/>
  <c r="J12" i="15"/>
  <c r="J11" i="15"/>
  <c r="J10" i="15"/>
  <c r="J9" i="15"/>
  <c r="J8" i="15"/>
  <c r="A5" i="15"/>
  <c r="J3" i="15" s="1"/>
  <c r="M4" i="15" a="1"/>
  <c r="M4" i="15" s="1"/>
  <c r="L4" i="15" a="1"/>
  <c r="L4" i="15" s="1"/>
  <c r="L39" i="15" l="1" a="1"/>
  <c r="L39" i="15" s="1"/>
  <c r="L30" i="15" a="1"/>
  <c r="L30" i="15" s="1"/>
  <c r="L35" i="15" a="1"/>
  <c r="L35" i="15" s="1"/>
  <c r="L17" i="15" a="1"/>
  <c r="L17" i="15" s="1"/>
  <c r="M33" i="15" a="1"/>
  <c r="M33" i="15" s="1"/>
  <c r="L38" i="15" a="1"/>
  <c r="L38" i="15" s="1"/>
  <c r="L18" i="15" a="1"/>
  <c r="L18" i="15" s="1"/>
  <c r="K37" i="15" a="1"/>
  <c r="K37" i="15" s="1"/>
  <c r="K38" i="15" a="1"/>
  <c r="K38" i="15" s="1"/>
  <c r="K25" i="15" a="1"/>
  <c r="K25" i="15" s="1"/>
  <c r="L37" i="15" a="1"/>
  <c r="L37" i="15" s="1"/>
  <c r="K47" i="15" a="1"/>
  <c r="K47" i="15" s="1"/>
  <c r="K30" i="15" a="1"/>
  <c r="K30" i="15" s="1"/>
  <c r="K17" i="15" a="1"/>
  <c r="K17" i="15" s="1"/>
  <c r="K31" i="15" a="1"/>
  <c r="K31" i="15" s="1"/>
  <c r="K19" i="15" a="1"/>
  <c r="K19" i="15" s="1"/>
  <c r="L44" i="15" a="1"/>
  <c r="L44" i="15" s="1"/>
  <c r="K11" i="15" a="1"/>
  <c r="K11" i="15" s="1"/>
  <c r="L11" i="15" a="1"/>
  <c r="L11" i="15" s="1"/>
  <c r="K45" i="15" a="1"/>
  <c r="K45" i="15" s="1"/>
  <c r="K24" i="15" a="1"/>
  <c r="K24" i="15" s="1"/>
  <c r="K36" i="15" a="1"/>
  <c r="K36" i="15" s="1"/>
  <c r="L31" i="15" a="1"/>
  <c r="L31" i="15" s="1"/>
  <c r="L10" i="15" a="1"/>
  <c r="L10" i="15" s="1"/>
  <c r="K44" i="15" a="1"/>
  <c r="K44" i="15" s="1"/>
  <c r="L12" i="15" a="1"/>
  <c r="L12" i="15" s="1"/>
  <c r="L24" i="15" a="1"/>
  <c r="L24" i="15" s="1"/>
  <c r="L36" i="15" a="1"/>
  <c r="L36" i="15" s="1"/>
  <c r="M10" i="15" a="1"/>
  <c r="M10" i="15" s="1"/>
  <c r="M44" i="15" a="1"/>
  <c r="M44" i="15" s="1"/>
  <c r="M12" i="15" a="1"/>
  <c r="M12" i="15" s="1"/>
  <c r="M24" i="15" a="1"/>
  <c r="M24" i="15" s="1"/>
  <c r="L16" i="15" a="1"/>
  <c r="L16" i="15" s="1"/>
  <c r="L29" i="15" a="1"/>
  <c r="L29" i="15" s="1"/>
  <c r="K20" i="15" a="1"/>
  <c r="K20" i="15" s="1"/>
  <c r="K33" i="15" a="1"/>
  <c r="K33" i="15" s="1"/>
  <c r="L47" i="15" a="1"/>
  <c r="L47" i="15" s="1"/>
  <c r="L27" i="15" a="1"/>
  <c r="L27" i="15" s="1"/>
  <c r="M47" i="15" a="1"/>
  <c r="M47" i="15" s="1"/>
  <c r="L32" i="15" a="1"/>
  <c r="L32" i="15" s="1"/>
  <c r="M32" i="15" a="1"/>
  <c r="M32" i="15" s="1"/>
  <c r="M21" i="15" a="1"/>
  <c r="M21" i="15" s="1"/>
  <c r="M27" i="15" a="1"/>
  <c r="M27" i="15" s="1"/>
  <c r="L13" i="15" a="1"/>
  <c r="L13" i="15" s="1"/>
  <c r="K14" i="15" a="1"/>
  <c r="K14" i="15" s="1"/>
  <c r="L33" i="15" a="1"/>
  <c r="L33" i="15" s="1"/>
  <c r="L14" i="15" a="1"/>
  <c r="L14" i="15" s="1"/>
  <c r="K34" i="15" a="1"/>
  <c r="K34" i="15" s="1"/>
  <c r="L41" i="15" a="1"/>
  <c r="L41" i="15" s="1"/>
  <c r="K48" i="15" a="1"/>
  <c r="K48" i="15" s="1"/>
  <c r="L48" i="15" a="1"/>
  <c r="L48" i="15" s="1"/>
  <c r="L19" i="15" a="1"/>
  <c r="L19" i="15" s="1"/>
  <c r="L45" i="15" a="1"/>
  <c r="L45" i="15" s="1"/>
  <c r="K13" i="15" a="1"/>
  <c r="K13" i="15" s="1"/>
  <c r="K27" i="15" a="1"/>
  <c r="K27" i="15" s="1"/>
  <c r="L21" i="15" a="1"/>
  <c r="L21" i="15" s="1"/>
  <c r="K15" i="15" a="1"/>
  <c r="K15" i="15" s="1"/>
  <c r="K28" i="15" a="1"/>
  <c r="K28" i="15" s="1"/>
  <c r="L34" i="15" a="1"/>
  <c r="L34" i="15" s="1"/>
  <c r="K22" i="15" a="1"/>
  <c r="K22" i="15" s="1"/>
  <c r="L28" i="15" a="1"/>
  <c r="L28" i="15" s="1"/>
  <c r="K42" i="15" a="1"/>
  <c r="K42" i="15" s="1"/>
  <c r="L25" i="15" a="1"/>
  <c r="L25" i="15" s="1"/>
  <c r="K39" i="15" a="1"/>
  <c r="K39" i="15" s="1"/>
  <c r="K40" i="15" a="1"/>
  <c r="K40" i="15" s="1"/>
  <c r="L9" i="15" a="1"/>
  <c r="L9" i="15" s="1"/>
  <c r="K10" i="15" a="1"/>
  <c r="K10" i="15" s="1"/>
  <c r="K16" i="15" a="1"/>
  <c r="K16" i="15" s="1"/>
  <c r="L22" i="15" a="1"/>
  <c r="L22" i="15" s="1"/>
  <c r="K35" i="15" a="1"/>
  <c r="K35" i="15" s="1"/>
  <c r="L42" i="15" a="1"/>
  <c r="L42" i="15" s="1"/>
  <c r="M45" i="15" a="1"/>
  <c r="M45" i="15" s="1"/>
  <c r="M28" i="15" a="1"/>
  <c r="M28" i="15" s="1"/>
  <c r="M11" i="15" a="1"/>
  <c r="M11" i="15" s="1"/>
  <c r="K43" i="15" a="1"/>
  <c r="K43" i="15" s="1"/>
  <c r="K8" i="15" a="1"/>
  <c r="K8" i="15" s="1"/>
  <c r="M14" i="15" a="1"/>
  <c r="M14" i="15" s="1"/>
  <c r="L20" i="15" a="1"/>
  <c r="L20" i="15" s="1"/>
  <c r="K26" i="15" a="1"/>
  <c r="K26" i="15" s="1"/>
  <c r="M34" i="15" a="1"/>
  <c r="M34" i="15" s="1"/>
  <c r="L40" i="15" a="1"/>
  <c r="L40" i="15" s="1"/>
  <c r="K46" i="15" a="1"/>
  <c r="K46" i="15" s="1"/>
  <c r="M16" i="15" a="1"/>
  <c r="M16" i="15" s="1"/>
  <c r="M25" i="15" a="1"/>
  <c r="M25" i="15" s="1"/>
  <c r="M31" i="15" a="1"/>
  <c r="M31" i="15" s="1"/>
  <c r="K9" i="15" a="1"/>
  <c r="K9" i="15" s="1"/>
  <c r="M17" i="15" a="1"/>
  <c r="M17" i="15" s="1"/>
  <c r="L23" i="15" a="1"/>
  <c r="L23" i="15" s="1"/>
  <c r="K29" i="15" a="1"/>
  <c r="K29" i="15" s="1"/>
  <c r="M37" i="15" a="1"/>
  <c r="M37" i="15" s="1"/>
  <c r="L43" i="15" a="1"/>
  <c r="L43" i="15" s="1"/>
  <c r="M30" i="15" a="1"/>
  <c r="M30" i="15" s="1"/>
  <c r="M36" i="15" a="1"/>
  <c r="M36" i="15" s="1"/>
  <c r="M19" i="15" a="1"/>
  <c r="M19" i="15" s="1"/>
  <c r="M39" i="15" a="1"/>
  <c r="M39" i="15" s="1"/>
  <c r="M22" i="15" a="1"/>
  <c r="M22" i="15" s="1"/>
  <c r="M42" i="15" a="1"/>
  <c r="M42" i="15" s="1"/>
  <c r="M48" i="15" a="1"/>
  <c r="M48" i="15" s="1"/>
  <c r="K23" i="15" a="1"/>
  <c r="K23" i="15" s="1"/>
  <c r="L8" i="15" a="1"/>
  <c r="L8" i="15" s="1"/>
  <c r="K12" i="15" a="1"/>
  <c r="K12" i="15" s="1"/>
  <c r="M20" i="15" a="1"/>
  <c r="M20" i="15" s="1"/>
  <c r="L26" i="15" a="1"/>
  <c r="L26" i="15" s="1"/>
  <c r="K32" i="15" a="1"/>
  <c r="K32" i="15" s="1"/>
  <c r="M40" i="15" a="1"/>
  <c r="M40" i="15" s="1"/>
  <c r="L46" i="15" a="1"/>
  <c r="L46" i="15" s="1"/>
  <c r="M23" i="15" a="1"/>
  <c r="M23" i="15" s="1"/>
  <c r="M43" i="15" a="1"/>
  <c r="M43" i="15" s="1"/>
  <c r="M8" i="15" a="1"/>
  <c r="M8" i="15" s="1"/>
  <c r="M26" i="15" a="1"/>
  <c r="M26" i="15" s="1"/>
  <c r="M46" i="15" a="1"/>
  <c r="M46" i="15" s="1"/>
  <c r="M9" i="15" a="1"/>
  <c r="M9" i="15" s="1"/>
  <c r="L15" i="15" a="1"/>
  <c r="L15" i="15" s="1"/>
  <c r="K21" i="15" a="1"/>
  <c r="K21" i="15" s="1"/>
  <c r="M29" i="15" a="1"/>
  <c r="M29" i="15" s="1"/>
  <c r="K41" i="15" a="1"/>
  <c r="K41" i="15" s="1"/>
  <c r="M15" i="15" a="1"/>
  <c r="M15" i="15" s="1"/>
  <c r="M35" i="15" a="1"/>
  <c r="M35" i="15" s="1"/>
  <c r="M18" i="15" a="1"/>
  <c r="M18" i="15" s="1"/>
  <c r="M38" i="15" a="1"/>
  <c r="M38" i="15" s="1"/>
  <c r="M41" i="15" a="1"/>
  <c r="M41" i="15" s="1"/>
  <c r="M13" i="15" a="1"/>
  <c r="M13" i="15"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<sst xmlns="http://schemas.openxmlformats.org/spreadsheetml/2006/main" count="800" uniqueCount="285">
  <si>
    <t xml:space="preserve">Item </t>
  </si>
  <si>
    <t>Unit</t>
  </si>
  <si>
    <t>2027-28</t>
  </si>
  <si>
    <t>2028-29</t>
  </si>
  <si>
    <t>2029-30</t>
  </si>
  <si>
    <t>2030-31</t>
  </si>
  <si>
    <t>2031-32</t>
  </si>
  <si>
    <t>2032-33</t>
  </si>
  <si>
    <t>2033-34</t>
  </si>
  <si>
    <t>2034-35</t>
  </si>
  <si>
    <t>2035-36</t>
  </si>
  <si>
    <t>2036-37</t>
  </si>
  <si>
    <t>Scenario</t>
  </si>
  <si>
    <t>2026-27</t>
  </si>
  <si>
    <t>Underlying cash balance</t>
  </si>
  <si>
    <t>% of GDP</t>
  </si>
  <si>
    <t>Gross debt</t>
  </si>
  <si>
    <t>2025-26</t>
  </si>
  <si>
    <t>Why use percentage of GDP</t>
  </si>
  <si>
    <t>Underlying cash balance as a share of GDP</t>
  </si>
  <si>
    <t>Drivers of real GDP growth – 3Ps framework</t>
  </si>
  <si>
    <t xml:space="preserve">How are IGR projections calculated? </t>
  </si>
  <si>
    <t>Table 1:</t>
  </si>
  <si>
    <t xml:space="preserve">Key inputs – the economy </t>
  </si>
  <si>
    <t xml:space="preserve">Chart 1: </t>
  </si>
  <si>
    <t>Chart 3:</t>
  </si>
  <si>
    <t xml:space="preserve">Chart 2: </t>
  </si>
  <si>
    <t>Chart 4:</t>
  </si>
  <si>
    <t>Impact on underlying cash balance of productivity sensitivity analysis</t>
  </si>
  <si>
    <t>Chart 5:</t>
  </si>
  <si>
    <t>Tax receipts as share of GDP</t>
  </si>
  <si>
    <t>Aggregate</t>
  </si>
  <si>
    <t>Assumption</t>
  </si>
  <si>
    <t xml:space="preserve">Population (IGR Box 8.1) </t>
  </si>
  <si>
    <t>Lower</t>
  </si>
  <si>
    <t>Long-run NOM, 185,000; Long-run fertility rate 1.24</t>
  </si>
  <si>
    <t>Baseline</t>
  </si>
  <si>
    <t>Long-run NOM, 235,000; Long-run fertility rate 1.34</t>
  </si>
  <si>
    <t>Higher</t>
  </si>
  <si>
    <t>Long-run NOM, 285,000; Long-run fertility rate 1.44</t>
  </si>
  <si>
    <t>Participation (IGR Box 9.1)</t>
  </si>
  <si>
    <t>Participation rate (15+) (%), 66.7</t>
  </si>
  <si>
    <t>Participation rate (15+) (%), 64.7</t>
  </si>
  <si>
    <t>Participation rate (15+) (%), 62.7</t>
  </si>
  <si>
    <t>Productivity (IGR Box 10.1)</t>
  </si>
  <si>
    <t>Productivity growth (%), 0.8</t>
  </si>
  <si>
    <t>Productivity growth (%), 1.2</t>
  </si>
  <si>
    <t>Productivity growth (%), 1.6</t>
  </si>
  <si>
    <t>Government bond yields (IGR Box 11.3)</t>
  </si>
  <si>
    <t>Average long-term bond yield (%), 3.4 (a)</t>
  </si>
  <si>
    <t>Average long-term bond yield (%), 4.4 (a)</t>
  </si>
  <si>
    <t>Average long-term bond yield (%), 5.4 (a)</t>
  </si>
  <si>
    <t>Aggregate spending (IGR Box 12.1)</t>
  </si>
  <si>
    <t>Aggregate spending (% GDP long-run), 26.7 (b)</t>
  </si>
  <si>
    <t>Aggregate spending (% GDP long-run), 27.7 (b)</t>
  </si>
  <si>
    <t>Aggregate spending (% GDP long-run), 28.7 (b)</t>
  </si>
  <si>
    <t>Tax assumption (IGR Box 13.2)</t>
  </si>
  <si>
    <t xml:space="preserve">Tax receipts (% GDP), 23.2 (c) </t>
  </si>
  <si>
    <t xml:space="preserve">Tax receipts (% GDP), 24.2 (c) </t>
  </si>
  <si>
    <t xml:space="preserve">Tax receipts (% GDP), 25.2 (c) </t>
  </si>
  <si>
    <t>Source: 2026 IGR</t>
  </si>
  <si>
    <t>Notes:</t>
  </si>
  <si>
    <t xml:space="preserve">(c) Tax receipts as a percentage of GDP are held constant from the end of the medium term to the end of the projection period. </t>
  </si>
  <si>
    <t>IGR sensitivity analyses - Charting tool</t>
  </si>
  <si>
    <t>Select an assumption and measure to compare the Lower, Baseline and Higher scenarios (% of GDP).</t>
  </si>
  <si>
    <t>Data table</t>
  </si>
  <si>
    <t>Financial year</t>
  </si>
  <si>
    <t xml:space="preserve">(b) This sensitivity analysis considers the impact of persistently higher or lower aggregate spending on the long-run fiscal outlook. The shock is phased in gradually over the medium term, staying 1 percentage point of GDP higher or lower in the long term. </t>
  </si>
  <si>
    <t>Comparison</t>
  </si>
  <si>
    <t>2023 IGR</t>
  </si>
  <si>
    <t>2026 IGR</t>
  </si>
  <si>
    <t>2026 IGR and 2023 IGR</t>
  </si>
  <si>
    <t>Productivity (% growth)</t>
  </si>
  <si>
    <t>Inflation (CPI % growth)</t>
  </si>
  <si>
    <t>Wages (% growth)</t>
  </si>
  <si>
    <t>Terms of trade and commodity prices</t>
  </si>
  <si>
    <t>Chart 1: Underlying cash balance as a share of GDP</t>
  </si>
  <si>
    <t>% population 15+</t>
  </si>
  <si>
    <t>Chart 4: Impact on underlying cash balance of productivity sensitivity analysis</t>
  </si>
  <si>
    <t>2002 IGR</t>
  </si>
  <si>
    <t>2007 IGR</t>
  </si>
  <si>
    <t>2010 IGR</t>
  </si>
  <si>
    <t>Historical</t>
  </si>
  <si>
    <t>2015 IGR</t>
  </si>
  <si>
    <t>2021 IGR</t>
  </si>
  <si>
    <r>
      <t xml:space="preserve">Assumption </t>
    </r>
    <r>
      <rPr>
        <sz val="11"/>
        <color theme="1"/>
        <rFont val="Aptos"/>
        <family val="2"/>
      </rPr>
      <t>(select)</t>
    </r>
  </si>
  <si>
    <r>
      <t>Measure</t>
    </r>
    <r>
      <rPr>
        <sz val="11"/>
        <color theme="1"/>
        <rFont val="Aptos"/>
        <family val="2"/>
      </rPr>
      <t xml:space="preserve"> (select)</t>
    </r>
  </si>
  <si>
    <t>Chart 2: Impact on gross debt of population change scenarios</t>
  </si>
  <si>
    <t>Impact on gross debt of population change scenarios</t>
  </si>
  <si>
    <t>Chart 3: Projected participation rate 2026 and 2023 IGR</t>
  </si>
  <si>
    <t>High</t>
  </si>
  <si>
    <t>Lower than 2023</t>
  </si>
  <si>
    <t>Tax receipts</t>
  </si>
  <si>
    <t>Receipts (Revenue)</t>
  </si>
  <si>
    <t>Payments (Expenses)</t>
  </si>
  <si>
    <t>Balance sheet items</t>
  </si>
  <si>
    <t>NDIS (Commonwealth share)</t>
  </si>
  <si>
    <t>Other payments (b)</t>
  </si>
  <si>
    <t>Change  2025-26 to 2065-66 (percentage points)</t>
  </si>
  <si>
    <t>Long-run NOM, 185,000; 
Long-run fertility rate 1.24</t>
  </si>
  <si>
    <t>Long-run NOM, 235,000; 
Long-run fertility rate 1.34</t>
  </si>
  <si>
    <t>Long-run NOM, 285,000; 
Long-run fertility rate 1.44</t>
  </si>
  <si>
    <t>Aggregate spending 
(IGR Box 12.1)</t>
  </si>
  <si>
    <t>Additional tables and data</t>
  </si>
  <si>
    <t>Interactive charts</t>
  </si>
  <si>
    <t xml:space="preserve">Guide to the 2026 Intergenerational Report </t>
  </si>
  <si>
    <t>All 2026 IGR sensitivity analyses</t>
  </si>
  <si>
    <t>Additional table: All 2026 IGR sensitivity analyses (% of GDP)</t>
  </si>
  <si>
    <t xml:space="preserve">Defence spending (c) </t>
  </si>
  <si>
    <t xml:space="preserve">(c) Defence spending is modelled until 2033-34, then held constant at 2.5% of GDP to 2065-66. </t>
  </si>
  <si>
    <t>Infrastructure Investment Pipeline (d)</t>
  </si>
  <si>
    <t>• Child Care Subsidy</t>
  </si>
  <si>
    <t>• Government employee superannuation</t>
  </si>
  <si>
    <t>• Australian Public Service</t>
  </si>
  <si>
    <t>• Tourism</t>
  </si>
  <si>
    <t>• Non-taxation receipts</t>
  </si>
  <si>
    <t>Other receipts</t>
  </si>
  <si>
    <t>• Other health spending</t>
  </si>
  <si>
    <t>Future Fund earnings</t>
  </si>
  <si>
    <t>• Tax receipts (a)</t>
  </si>
  <si>
    <t>Constant % of GDP</t>
  </si>
  <si>
    <t>Projected participation rate 2026 and 2023 IGR</t>
  </si>
  <si>
    <t>Sensitivity analysis - 3Ps (% of GDP) &amp; Sensitivity analysis - Bond yields, spending and taxation receipts (% of GDP)</t>
  </si>
  <si>
    <t>Long-term projection period</t>
  </si>
  <si>
    <t xml:space="preserve">Productivity growth is assumed to be 1.2% per year in the 2026 IGR, the same rate as the 2023 IGR. </t>
  </si>
  <si>
    <t>The Australian Government Actuary (AGA) has reviewed the mortality improvement factors since the 2023 IGR and has lowered the rate of increase in life expectancy. This reflects evidence that the large improvements seen for those born 1930-1950 are unlikely to continue.</t>
  </si>
  <si>
    <t>Population growth 
(% per year; annual average over the long-term projection period) (a)</t>
  </si>
  <si>
    <t>Fertility 
(babies per woman; last year of long-term projection period) (b)</t>
  </si>
  <si>
    <t>Mortality 
(annual deaths per year; last year of the projection period)</t>
  </si>
  <si>
    <t>Long-run NOM is the same as the 2023 IGR (and 2021 IGR), at 235,000 people per year.
The average contribution to population growth from NOM is 0.7 percentage points, the same as the 2023 IGR.</t>
  </si>
  <si>
    <t>Nominal GDP 
(% growth; average over the long-term projection period)</t>
  </si>
  <si>
    <t>Nominal wages growth is projected to converge to 3.7% per year in the 2023 and 2026 IGRs, consistent with the projection for domestic inflation and the long-run labour productivity growth assumption.</t>
  </si>
  <si>
    <t>The terms of trade measure export prices relative to import prices. In the 2023 IGR, the terms of trade were at a record high due to unusually high commodity prices caused by Russia’s invasion of Ukraine and tight global supply conditions. In the 2026 IGR the terms of trade have declined from their 2023 peak (Chart 2.5, 2026 IGR, p. 41).</t>
  </si>
  <si>
    <t>2025-26
(% of GDP)</t>
  </si>
  <si>
    <t>2036-37
(% of GDP)</t>
  </si>
  <si>
    <t>2050-51
(% of GDP)</t>
  </si>
  <si>
    <t>2065–66
(% of GDP)</t>
  </si>
  <si>
    <t xml:space="preserve">(a) The IGR adopts the same bond yield assumption as the 2026–27 Budget over the budget forward estimates. It then assumes the 10-year bond yield decreases linearly over 15 years from 2029–30 to equal nominal GDP growth, around 4.4% on average over the long-term projection period. The lower yield sensitivity assumes the 10-year bond yield converges to be 100 basis points below nominal GDP growth. The higher yield assumption assumes convergence to 100 basis points above nominal GDP.  </t>
  </si>
  <si>
    <t>&lt; Select from a drop down list to the left</t>
  </si>
  <si>
    <t>• Carer Payment</t>
  </si>
  <si>
    <t>• Community development</t>
  </si>
  <si>
    <t>• Payments to states and territories (Specific Purpose and National Partnership, excluding Commonwealth public hospital funding which is modelled specifically)</t>
  </si>
  <si>
    <t>• Official Development Assistance</t>
  </si>
  <si>
    <t>• Some smaller components are held constant</t>
  </si>
  <si>
    <t>Labour force participation rate (15+) (%) (final year of projection period)</t>
  </si>
  <si>
    <t xml:space="preserve">Long-run annual average population growth over the next 40 years is lower at 0.9% in the 2026 IGR, compared to 1.1% in the 2023 IGR. A lower fertility rate is identified in the IGR as the main driver of slower population growth and faster ageing. Longer life expectancy (higher than the 2023 IGR) and an older age structure will also contribute to the decrease in rates of natural increase (the difference between births and deaths). </t>
  </si>
  <si>
    <t>The long-term fertility rate used in the 2026 IGR is 1.34 births per woman. The long-term rate used in the 2023 IGR was 1.62 children per woman. The revised fertility rate is expected to be driven by delayed family formation and smaller family sizes.</t>
  </si>
  <si>
    <t>Inflation growth is set at 2.5% in the long-term in 2023 and 2026 IGRs consistent with the RBA fulfilling its mandate for the target inflation band.</t>
  </si>
  <si>
    <t>Net overseas migration (NOM) 
(per year; constant from 2031-32 in the 2023 IGR and from 2030-31 in the 2026 IGR)</t>
  </si>
  <si>
    <t>Table 1: Key economic parameters - the economy</t>
  </si>
  <si>
    <t>Source: 2026 IGR and 2023 IGR</t>
  </si>
  <si>
    <t>Education</t>
  </si>
  <si>
    <t>Table 2: Program-specific components of the Budget</t>
  </si>
  <si>
    <t>Table 4&amp;5:</t>
  </si>
  <si>
    <t>Table 4a&amp;5a</t>
  </si>
  <si>
    <t>Table 2&amp;3:</t>
  </si>
  <si>
    <t>Table 4: Sensitivity analysis - 3Ps (% of GDP)</t>
  </si>
  <si>
    <t>Table 5: Sensitivity analysis - Bond yields, spending and taxation receipts (% GDP)</t>
  </si>
  <si>
    <t xml:space="preserve">(b) 'Other payments' includes spending on things like the Australian Public Service, tourism and community development. It is calculated as the residual of the difference between total program specific payments and total payments over the forward estimates from Australian Government financial statements. This component is indexed to nominal GDP growth for the medium and long term. </t>
  </si>
  <si>
    <t>(a) The IGR adopts the same bond yield assumption as the 2026-27 Budget over the budget forward estimates. It then assumes the 10-year bond yield decreases linearly over 15 years from 2029-30 to equal nominal GDP growth, around 4.4% on average over the long-term projection period. The lower yield sensitivity assumes the 10-year bond yield converges to be 100 basis points below nominal GDP growth. The higher yield assumption assumes convergence to 100 basis points above nominal GDP.</t>
  </si>
  <si>
    <t>(b) This sensitivity analysis considers the impact of persistently higher or lower aggregate spending on the long-run fiscal outlook. The shock is phased in gradually over the medium term, staying 1 percentage point of GDP higher or lower in the long term.</t>
  </si>
  <si>
    <t>Program-specific</t>
  </si>
  <si>
    <t>Component of the Budget</t>
  </si>
  <si>
    <t>Tax receipts (a)</t>
  </si>
  <si>
    <t>• GST</t>
  </si>
  <si>
    <t>• Excise</t>
  </si>
  <si>
    <t>• Personal income</t>
  </si>
  <si>
    <t>• Company tax</t>
  </si>
  <si>
    <t>• Interest receipts</t>
  </si>
  <si>
    <t>• Dividends</t>
  </si>
  <si>
    <t>Interest receipts</t>
  </si>
  <si>
    <t>• Term deposits</t>
  </si>
  <si>
    <t>• AOFM investments</t>
  </si>
  <si>
    <t>• Other Funds</t>
  </si>
  <si>
    <t>• Returns on financial assets</t>
  </si>
  <si>
    <t>Health</t>
  </si>
  <si>
    <t xml:space="preserve">• Public hospital funding </t>
  </si>
  <si>
    <t>• Medical benefits scheme (MBS)</t>
  </si>
  <si>
    <t>• Pharmaceutical benefits scheme (PBS)</t>
  </si>
  <si>
    <t>• Private Health Insurance Rebate</t>
  </si>
  <si>
    <t>Aged care</t>
  </si>
  <si>
    <t>• Residential care</t>
  </si>
  <si>
    <t>• At-home care</t>
  </si>
  <si>
    <t>Income support payments and benefits</t>
  </si>
  <si>
    <t>• Age and Service Pensions</t>
  </si>
  <si>
    <t>• Austudy</t>
  </si>
  <si>
    <t>• Disability Support Pension</t>
  </si>
  <si>
    <t>• Family Tax Benefit</t>
  </si>
  <si>
    <t>• JobSeeker Payment</t>
  </si>
  <si>
    <t>• Paid Parental Leave</t>
  </si>
  <si>
    <t>• Parenting Payment</t>
  </si>
  <si>
    <t>• Youth Allowance</t>
  </si>
  <si>
    <t>Public debt interest (PDI)</t>
  </si>
  <si>
    <t>• Higher Education</t>
  </si>
  <si>
    <t>• Schools</t>
  </si>
  <si>
    <t>• Vocational education and training</t>
  </si>
  <si>
    <t>GST payments to states (assumed to equal GST receipts plus the GST pool boost)</t>
  </si>
  <si>
    <t>• Investment funds and government-financed investment vehicles</t>
  </si>
  <si>
    <t>• Australian Government Future Fund</t>
  </si>
  <si>
    <t>• Higher Education Loan Program (HELP)</t>
  </si>
  <si>
    <t xml:space="preserve">• Sales of goods and services </t>
  </si>
  <si>
    <t xml:space="preserve"> (foreign aid)</t>
  </si>
  <si>
    <t xml:space="preserve">(a) While tax receipts are modelled individually, a technical assumption is made that the total tax-to-GDP ratio does not exceed 24.2% from 2032-33. Company tax and GST and other income tax receipts are held constant as a proportion of GDP from 2036-37. </t>
  </si>
  <si>
    <t>Chart 5: Tax receipts as a share of GDP</t>
  </si>
  <si>
    <t xml:space="preserve">Source: 2026 IGR, Chart 11.2, p.212. </t>
  </si>
  <si>
    <t xml:space="preserve">(a) In the 2026 IGR population growth is assumed to decline from 1.4% in 2025-26, to 0.8% by 2045-46 and 0.6% by 2065-66 (2026 IGR, Table A2.1). In the 2023 IGR, population growth is 1.1% on average and was assumed to decline from 2.0% in 2022-23, to 1.0% in 2042-43 and 0.8% by 2062-63 (2023 IGR, Table A3.1). </t>
  </si>
  <si>
    <t xml:space="preserve">(b) In the 2026 IGR the fertility rate is assumed to decline from 1.44 in 2025-26, to 1.41 by 2045-46 and 1.34 by 2065-66 (2026 IGR, Table A2.1). In the 2023 IGR, the fertility rate was assumed to decline from 1.66 in 2022-23, to 1.62 over the projection period from 2032-33.  </t>
  </si>
  <si>
    <t xml:space="preserve">Participation rates have been successively revised upwards since the first IGR, and projections have been substantially upgraded in the 2026 IGR from the 2023 IGR. The difference between participation rates in the 2023 and 2026 IGR is shown in Chart 3. The participation rate in the 2026 IGR is projected to continue rising until 2039-40 (67.7%), driven by higher participation among women and older Australians, then decrease to 64.7% by 2065-66 due to population ageing. </t>
  </si>
  <si>
    <t>Annual nominal GDP growth over the long-term projection period is projected to be 4.5% in the 2026 IGR, lower than the 4.6% in the 2023 IGR. The downwards revision to nominal GDP growth reflects a decrease in projected real GDP growth. As productivity assumptions have been held constant and the labour force participation rate has been upgraded, the projected decrease in real GDP growth is driven by downgraded population growth assumptions.</t>
  </si>
  <si>
    <t xml:space="preserve">Source: 2026 IGR, Chart 8.4, p. 156. </t>
  </si>
  <si>
    <t xml:space="preserve">Source: 2026 IGR, Chart 9.1, p.173. </t>
  </si>
  <si>
    <t>Source: 2026 IGR, Chart 10.2, p. 195.</t>
  </si>
  <si>
    <t>Program-specific components of the Budget &amp; Constant share of GDP components of the Budget</t>
  </si>
  <si>
    <t>Table 3: Constant share of GDP components of the Budget</t>
  </si>
  <si>
    <t>(d) Expenditure under the Infrastructure Investment Pipeline (IIP) is not modelled over the long term. Instead, it is assumed to be at least 0.33% of GDP through the medium term and held at that level through to the end of the long-run projection period (2026 IGR, p. 257).</t>
  </si>
  <si>
    <t>Source: 2026 IGR, Chart 13.1, pg. 264.</t>
  </si>
  <si>
    <t>1985-86</t>
  </si>
  <si>
    <t>1986-87</t>
  </si>
  <si>
    <t>1987-88</t>
  </si>
  <si>
    <t>1988-89</t>
  </si>
  <si>
    <t>1989-90</t>
  </si>
  <si>
    <t>1990-91</t>
  </si>
  <si>
    <t>1991-92</t>
  </si>
  <si>
    <t>1992-93</t>
  </si>
  <si>
    <t>1993-94</t>
  </si>
  <si>
    <t>1994-95</t>
  </si>
  <si>
    <t>1995-96</t>
  </si>
  <si>
    <t>1996-97</t>
  </si>
  <si>
    <t>1997-98</t>
  </si>
  <si>
    <t>1998-99</t>
  </si>
  <si>
    <t>1999-00</t>
  </si>
  <si>
    <t>2000-01</t>
  </si>
  <si>
    <t>2001-02</t>
  </si>
  <si>
    <t>2002-03</t>
  </si>
  <si>
    <t>2003-04</t>
  </si>
  <si>
    <t>2004-05</t>
  </si>
  <si>
    <t>2005-06</t>
  </si>
  <si>
    <t>2006-07</t>
  </si>
  <si>
    <t>2007-08</t>
  </si>
  <si>
    <t>2008-09</t>
  </si>
  <si>
    <t>2009-10</t>
  </si>
  <si>
    <t>2010-11</t>
  </si>
  <si>
    <t>2011-12</t>
  </si>
  <si>
    <t>2012-13</t>
  </si>
  <si>
    <t>2013-14</t>
  </si>
  <si>
    <t>2014-15</t>
  </si>
  <si>
    <t>2015-16</t>
  </si>
  <si>
    <t>2016-17</t>
  </si>
  <si>
    <t>2017-18</t>
  </si>
  <si>
    <t>2018-19</t>
  </si>
  <si>
    <t>2019-20</t>
  </si>
  <si>
    <t>2020-21</t>
  </si>
  <si>
    <t>2021-22</t>
  </si>
  <si>
    <t>2022-23</t>
  </si>
  <si>
    <t>2023-24</t>
  </si>
  <si>
    <t>2024-25</t>
  </si>
  <si>
    <t>2037-38</t>
  </si>
  <si>
    <t>2038-39</t>
  </si>
  <si>
    <t>2039-40</t>
  </si>
  <si>
    <t>2040-41</t>
  </si>
  <si>
    <t>2041-42</t>
  </si>
  <si>
    <t>2042-43</t>
  </si>
  <si>
    <t>2043-44</t>
  </si>
  <si>
    <t>2044-45</t>
  </si>
  <si>
    <t>2045-46</t>
  </si>
  <si>
    <t>2046-47</t>
  </si>
  <si>
    <t>2047-48</t>
  </si>
  <si>
    <t>2048-49</t>
  </si>
  <si>
    <t>2049-50</t>
  </si>
  <si>
    <t>2050-51</t>
  </si>
  <si>
    <t>2051-52</t>
  </si>
  <si>
    <t>2052-53</t>
  </si>
  <si>
    <t>2053-54</t>
  </si>
  <si>
    <t>2054-55</t>
  </si>
  <si>
    <t>2055-56</t>
  </si>
  <si>
    <t>2056-57</t>
  </si>
  <si>
    <t>2057-58</t>
  </si>
  <si>
    <t>2058-59</t>
  </si>
  <si>
    <t>2059-60</t>
  </si>
  <si>
    <t>2060-61</t>
  </si>
  <si>
    <t>2061-62</t>
  </si>
  <si>
    <t>2062-63</t>
  </si>
  <si>
    <t>2063-64</t>
  </si>
  <si>
    <t>2064-65</t>
  </si>
  <si>
    <t>2065-66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</si>
</sst>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quot;$&quot;* #,##0.00_-;\-&quot;$&quot;* #,##0.00_-;_-&quot;$&quot;* &quot;-&quot;??_-;_-@_-"/>
    <numFmt numFmtId="43" formatCode="_-* #,##0.00_-;\-* #,##0.00_-;_-* &quot;-&quot;??_-;_-@_-"/>
    <numFmt numFmtId="164" formatCode="#,##0.0"/>
    <numFmt numFmtId="165" formatCode="0.0"/>
    <numFmt numFmtId="166" formatCode="_-[$€-2]* #,##0.000_-;\-[$€-2]* #,##0.000_-;_-[$€-2]* &quot;-&quot;??_-"/>
    <numFmt numFmtId="167" formatCode="###,000"/>
    <numFmt numFmtId="168" formatCode="_-[$€-2]* #,##0.00_-;\-[$€-2]* #,##0.00_-;_-[$€-2]* &quot;-&quot;??_-"/>
    <numFmt numFmtId="169" formatCode="[$-C09]dd\-mmm\-yy;@"/>
  </numFmts>
  <fonts count="94">
    <font>
      <sz val="11"/>
      <color theme="1"/>
      <name val="Calibri"/>
      <family val="2"/>
      <scheme val="minor"/>
    </font>
    <font>
      <u/>
      <sz val="11"/>
      <color theme="10"/>
      <name val="Calibri"/>
      <family val="2"/>
      <scheme val="minor"/>
    </font>
    <font>
      <b/>
      <sz val="26"/>
      <color rgb="FF5D592D"/>
      <name val="Aptos"/>
      <family val="2"/>
    </font>
    <font>
      <sz val="11"/>
      <color theme="1"/>
      <name val="Aptos"/>
      <family val="2"/>
    </font>
    <font>
      <b/>
      <sz val="14"/>
      <color rgb="FF5D592D"/>
      <name val="Aptos"/>
      <family val="2"/>
    </font>
    <font>
      <u/>
      <sz val="11"/>
      <color rgb="FF7C773C"/>
      <name val="Aptos"/>
      <family val="2"/>
    </font>
    <font>
      <b/>
      <sz val="12"/>
      <color theme="1"/>
      <name val="Aptos"/>
      <family val="2"/>
    </font>
    <font>
      <b/>
      <sz val="11"/>
      <color theme="0"/>
      <name val="Aptos"/>
      <family val="2"/>
    </font>
    <font>
      <sz val="11"/>
      <color theme="2" tint="-0.499984740745262"/>
      <name val="Aptos"/>
      <family val="2"/>
    </font>
    <font>
      <b/>
      <sz val="11"/>
      <color theme="1"/>
      <name val="Calibri"/>
      <family val="2"/>
      <scheme val="minor"/>
    </font>
    <font>
      <b/>
      <sz val="11"/>
      <color theme="1"/>
      <name val="Aptos"/>
      <family val="2"/>
    </font>
    <font>
      <sz val="11"/>
      <color theme="2" tint="-0.749992370372631"/>
      <name val="Aptos"/>
      <family val="2"/>
    </font>
    <font>
      <b/>
      <sz val="10"/>
      <color theme="0"/>
      <name val="Aptos"/>
      <family val="2"/>
    </font>
    <font>
      <b/>
      <sz val="10"/>
      <color theme="1"/>
      <name val="Aptos"/>
      <family val="2"/>
    </font>
    <font>
      <sz val="10"/>
      <color theme="1"/>
      <name val="Aptos"/>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b/>
      <sz val="18"/>
      <color theme="1"/>
      <name val="Aptos"/>
      <family val="2"/>
    </font>
    <font>
      <i/>
      <sz val="12"/>
      <color rgb="FF666666"/>
      <name val="Aptos"/>
      <family val="2"/>
    </font>
    <font>
      <sz val="12"/>
      <color theme="1"/>
      <name val="Aptos"/>
      <family val="2"/>
    </font>
    <font>
      <b/>
      <sz val="11"/>
      <color rgb="FFFF0000"/>
      <name val="Aptos"/>
      <family val="2"/>
    </font>
    <font>
      <sz val="11"/>
      <name val="Aptos"/>
      <family val="2"/>
    </font>
    <font>
      <sz val="10"/>
      <name val="Arial"/>
      <family val="2"/>
    </font>
    <font>
      <sz val="8"/>
      <color theme="1"/>
      <name val="Arial"/>
      <family val="2"/>
    </font>
    <font>
      <sz val="11"/>
      <color rgb="FF000000"/>
      <name val="Calibri"/>
      <family val="2"/>
    </font>
    <font>
      <sz val="8"/>
      <color rgb="FF000000"/>
      <name val="Arial"/>
      <family val="2"/>
    </font>
    <font>
      <sz val="8"/>
      <color rgb="FF000000"/>
      <name val="Verdana"/>
      <family val="2"/>
    </font>
    <font>
      <sz val="8"/>
      <color theme="1"/>
      <name val="Verdana"/>
      <family val="2"/>
    </font>
    <font>
      <b/>
      <sz val="8"/>
      <color theme="1"/>
      <name val="Verdana"/>
      <family val="2"/>
    </font>
    <font>
      <i/>
      <sz val="8"/>
      <color rgb="FF000000"/>
      <name val="Verdana"/>
      <family val="2"/>
    </font>
    <font>
      <b/>
      <sz val="8"/>
      <color rgb="FF00CC00"/>
      <name val="Verdana"/>
      <family val="2"/>
    </font>
    <font>
      <b/>
      <sz val="8"/>
      <color rgb="FF33CC33"/>
      <name val="Verdana"/>
      <family val="2"/>
    </font>
    <font>
      <b/>
      <sz val="8"/>
      <color rgb="FFFF9900"/>
      <name val="Verdana"/>
      <family val="2"/>
    </font>
    <font>
      <b/>
      <sz val="8"/>
      <color rgb="FFFF0000"/>
      <name val="Verdana"/>
      <family val="2"/>
    </font>
    <font>
      <u/>
      <sz val="11"/>
      <color theme="10"/>
      <name val="Calibri"/>
      <family val="2"/>
    </font>
    <font>
      <sz val="8"/>
      <color rgb="FF1F497D"/>
      <name val="Verdana"/>
      <family val="2"/>
    </font>
    <font>
      <sz val="8"/>
      <color rgb="FFDBE5F1"/>
      <name val="Verdana"/>
      <family val="2"/>
    </font>
    <font>
      <sz val="10"/>
      <color theme="1"/>
      <name val="Calibri"/>
      <family val="2"/>
      <scheme val="minor"/>
    </font>
    <font>
      <sz val="10"/>
      <name val="Tahoma"/>
      <family val="2"/>
    </font>
    <font>
      <sz val="8"/>
      <name val="Arial"/>
      <family val="2"/>
    </font>
    <font>
      <u/>
      <sz val="11"/>
      <color rgb="FF0000FF"/>
      <name val="Calibri"/>
      <family val="2"/>
      <scheme val="minor"/>
    </font>
    <font>
      <u/>
      <sz val="11"/>
      <color rgb="FF800080"/>
      <name val="Calibri"/>
      <family val="2"/>
      <scheme val="minor"/>
    </font>
    <font>
      <u/>
      <sz val="10"/>
      <color indexed="12"/>
      <name val="Geneva"/>
    </font>
    <font>
      <i/>
      <sz val="8"/>
      <name val="Arial"/>
      <family val="2"/>
    </font>
    <font>
      <b/>
      <sz val="10"/>
      <name val="Arial"/>
      <family val="2"/>
    </font>
    <font>
      <sz val="9"/>
      <name val="Arial"/>
      <family val="2"/>
    </font>
    <font>
      <b/>
      <u/>
      <sz val="10"/>
      <name val="Times New Roman"/>
      <family val="1"/>
    </font>
    <font>
      <b/>
      <sz val="10"/>
      <name val="Times New Roman"/>
      <family val="1"/>
    </font>
    <font>
      <b/>
      <sz val="16"/>
      <name val="Times New Roman"/>
      <family val="1"/>
    </font>
    <font>
      <u/>
      <sz val="10"/>
      <color theme="10"/>
      <name val="Arial"/>
      <family val="2"/>
    </font>
    <font>
      <b/>
      <i/>
      <sz val="14"/>
      <name val="Arial"/>
      <family val="2"/>
    </font>
    <font>
      <sz val="10"/>
      <color rgb="FF000000"/>
      <name val="Times New Roman"/>
      <family val="1"/>
    </font>
    <font>
      <sz val="11"/>
      <color rgb="FF000000"/>
      <name val="Calibri"/>
      <family val="2"/>
      <scheme val="minor"/>
    </font>
    <font>
      <b/>
      <sz val="12"/>
      <name val="Arial"/>
      <family val="2"/>
    </font>
    <font>
      <b/>
      <i/>
      <sz val="10"/>
      <name val="Arial"/>
      <family val="2"/>
    </font>
    <font>
      <b/>
      <sz val="20"/>
      <name val="Arial"/>
      <family val="2"/>
    </font>
    <font>
      <sz val="7"/>
      <name val="Times New Roman"/>
      <family val="1"/>
    </font>
    <font>
      <i/>
      <sz val="10"/>
      <name val="Arial"/>
      <family val="2"/>
    </font>
    <font>
      <b/>
      <sz val="12"/>
      <color rgb="FF343333"/>
      <name val="Aptos"/>
      <family val="2"/>
    </font>
    <font>
      <sz val="11"/>
      <color rgb="FF343333"/>
      <name val="Aptos"/>
      <family val="2"/>
    </font>
    <font>
      <sz val="11"/>
      <color rgb="FF353E46"/>
      <name val="Aptos"/>
      <family val="2"/>
    </font>
    <font>
      <b/>
      <sz val="11"/>
      <color rgb="FF343333"/>
      <name val="Aptos"/>
      <family val="2"/>
    </font>
    <font>
      <b/>
      <sz val="18"/>
      <name val="Aptos"/>
      <family val="2"/>
    </font>
    <font>
      <b/>
      <sz val="10"/>
      <color rgb="FF9D5BA1"/>
      <name val="Aptos"/>
      <family val="2"/>
    </font>
    <font>
      <sz val="10"/>
      <color rgb="FF9D5BA1"/>
      <name val="Aptos"/>
      <family val="2"/>
    </font>
    <font>
      <sz val="10"/>
      <color rgb="FF000000"/>
      <name val="Aptos"/>
      <family val="2"/>
    </font>
    <font>
      <b/>
      <sz val="10"/>
      <color rgb="FFCE6D42"/>
      <name val="Aptos"/>
      <family val="2"/>
    </font>
    <font>
      <sz val="10"/>
      <color rgb="FFCE6D42"/>
      <name val="Aptos"/>
      <family val="2"/>
    </font>
    <font>
      <b/>
      <sz val="10"/>
      <color rgb="FF7D783D"/>
      <name val="Aptos"/>
      <family val="2"/>
    </font>
    <font>
      <sz val="10"/>
      <color rgb="FF7D783D"/>
      <name val="Aptos"/>
      <family val="2"/>
    </font>
    <font>
      <sz val="10"/>
      <color rgb="FF585536"/>
      <name val="Aptos"/>
      <family val="2"/>
    </font>
    <font>
      <b/>
      <sz val="10"/>
      <color rgb="FF657FB9"/>
      <name val="Aptos"/>
      <family val="2"/>
    </font>
    <font>
      <sz val="10"/>
      <color rgb="FF657FB9"/>
      <name val="Aptos"/>
      <family val="2"/>
    </font>
    <font>
      <sz val="8"/>
      <name val="Calibri"/>
      <family val="2"/>
      <scheme val="minor"/>
    </font>
    <font>
      <sz val="11"/>
      <name val="Calibri"/>
      <family val="2"/>
      <scheme val="minor"/>
    </font>
    <font>
      <b/>
      <sz val="10"/>
      <color rgb="FFFFFFFF"/>
      <name val="Aptos"/>
      <family val="2"/>
    </font>
    <font>
      <b/>
      <sz val="10"/>
      <color rgb="FF585536"/>
      <name val="Aptos"/>
      <family val="2"/>
    </font>
    <font>
      <b/>
      <sz val="10.5"/>
      <color rgb="FFFFFFFF"/>
      <name val="Aptos"/>
      <family val="2"/>
    </font>
    <font>
      <b/>
      <sz val="10.5"/>
      <color rgb="FF000000"/>
      <name val="Aptos"/>
      <family val="2"/>
    </font>
    <font>
      <sz val="10.5"/>
      <color rgb="FF000000"/>
      <name val="Aptos"/>
      <family val="2"/>
    </font>
  </fonts>
  <fills count="59">
    <fill>
      <patternFill patternType="none"/>
    </fill>
    <fill>
      <patternFill patternType="gray125"/>
    </fill>
    <fill>
      <patternFill patternType="solid">
        <fgColor theme="0"/>
        <bgColor indexed="64"/>
      </patternFill>
    </fill>
    <fill>
      <patternFill patternType="solid">
        <fgColor rgb="FF5D592D"/>
        <bgColor indexed="64"/>
      </patternFill>
    </fill>
    <fill>
      <patternFill patternType="solid">
        <fgColor rgb="FFFFFFFF"/>
        <bgColor indexed="64"/>
      </patternFill>
    </fill>
    <fill>
      <patternFill patternType="solid">
        <fgColor rgb="FFBFBA7B"/>
        <bgColor indexed="64"/>
      </patternFill>
    </fill>
    <fill>
      <patternFill patternType="solid">
        <fgColor rgb="FFEAE8D2"/>
        <bgColor indexed="64"/>
      </patternFill>
    </fill>
    <fill>
      <patternFill patternType="solid">
        <fgColor rgb="FFD3D0A7"/>
        <bgColor indexed="64"/>
      </patternFill>
    </fill>
    <fill>
      <patternFill patternType="solid">
        <fgColor rgb="FFFFFF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rgb="FF000000"/>
      </patternFill>
    </fill>
    <fill>
      <patternFill patternType="solid">
        <fgColor rgb="FFEAEAEA"/>
        <bgColor rgb="FF000000"/>
      </patternFill>
    </fill>
    <fill>
      <patternFill patternType="solid">
        <fgColor rgb="FFF8F8F8"/>
        <bgColor rgb="FF000000"/>
      </patternFill>
    </fill>
    <fill>
      <patternFill patternType="solid">
        <fgColor rgb="FF94D88F"/>
        <bgColor rgb="FF000000"/>
      </patternFill>
    </fill>
    <fill>
      <patternFill patternType="solid">
        <fgColor rgb="FFABEDA5"/>
        <bgColor rgb="FF000000"/>
      </patternFill>
    </fill>
    <fill>
      <patternFill patternType="solid">
        <fgColor rgb="FFC6F9C1"/>
        <bgColor rgb="FF000000"/>
      </patternFill>
    </fill>
    <fill>
      <patternFill patternType="solid">
        <fgColor rgb="FFFFFDBF"/>
        <bgColor rgb="FF000000"/>
      </patternFill>
    </fill>
    <fill>
      <patternFill patternType="solid">
        <fgColor rgb="FFFFFB8C"/>
        <bgColor rgb="FF000000"/>
      </patternFill>
    </fill>
    <fill>
      <patternFill patternType="solid">
        <fgColor rgb="FFFFF843"/>
        <bgColor rgb="FF000000"/>
      </patternFill>
    </fill>
    <fill>
      <patternFill patternType="solid">
        <fgColor rgb="FFFFC7CE"/>
        <bgColor rgb="FF000000"/>
      </patternFill>
    </fill>
    <fill>
      <patternFill patternType="solid">
        <fgColor rgb="FFFF988C"/>
        <bgColor rgb="FF000000"/>
      </patternFill>
    </fill>
    <fill>
      <patternFill patternType="solid">
        <fgColor rgb="FFFF6758"/>
        <bgColor rgb="FF000000"/>
      </patternFill>
    </fill>
    <fill>
      <patternFill patternType="solid">
        <fgColor rgb="FFFFFFFF"/>
        <bgColor rgb="FFFFFFFF"/>
      </patternFill>
    </fill>
    <fill>
      <patternFill patternType="solid">
        <fgColor rgb="FFDBE5F1"/>
        <bgColor rgb="FFFFFFFF"/>
      </patternFill>
    </fill>
    <fill>
      <patternFill patternType="solid">
        <fgColor theme="0"/>
        <bgColor rgb="FF000000"/>
      </patternFill>
    </fill>
    <fill>
      <patternFill patternType="solid">
        <fgColor rgb="FF9D5BA1"/>
        <bgColor indexed="64"/>
      </patternFill>
    </fill>
    <fill>
      <patternFill patternType="solid">
        <fgColor rgb="FFC49BC7"/>
        <bgColor indexed="64"/>
      </patternFill>
    </fill>
    <fill>
      <patternFill patternType="solid">
        <fgColor rgb="FFEBDDEC"/>
        <bgColor indexed="64"/>
      </patternFill>
    </fill>
    <fill>
      <patternFill patternType="solid">
        <fgColor rgb="FFF1F3F4"/>
        <bgColor indexed="64"/>
      </patternFill>
    </fill>
  </fills>
  <borders count="4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hair">
        <color rgb="FFC0C0C0"/>
      </left>
      <right style="hair">
        <color rgb="FFC0C0C0"/>
      </right>
      <top style="hair">
        <color rgb="FFC0C0C0"/>
      </top>
      <bottom style="hair">
        <color rgb="FFC0C0C0"/>
      </bottom>
      <diagonal/>
    </border>
    <border>
      <left style="thin">
        <color theme="3" tint="-0.24994659260841701"/>
      </left>
      <right style="thin">
        <color theme="3" tint="-0.24994659260841701"/>
      </right>
      <top style="thin">
        <color theme="3" tint="-0.24994659260841701"/>
      </top>
      <bottom style="thin">
        <color theme="3"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rgb="FF000000"/>
      </left>
      <right style="thin">
        <color rgb="FF000000"/>
      </right>
      <top style="thin">
        <color rgb="FF000000"/>
      </top>
      <bottom style="thin">
        <color rgb="FF000000"/>
      </bottom>
      <diagonal/>
    </border>
    <border>
      <left style="thin">
        <color rgb="FF808080"/>
      </left>
      <right style="thin">
        <color rgb="FF808080"/>
      </right>
      <top style="thin">
        <color rgb="FF808080"/>
      </top>
      <bottom style="thin">
        <color rgb="FF808080"/>
      </bottom>
      <diagonal/>
    </border>
    <border>
      <left style="hair">
        <color rgb="FFC0C0C0"/>
      </left>
      <right style="hair">
        <color rgb="FFC0C0C0"/>
      </right>
      <top style="thin">
        <color rgb="FF808080"/>
      </top>
      <bottom style="thin">
        <color rgb="FF808080"/>
      </bottom>
      <diagonal/>
    </border>
    <border>
      <left style="medium">
        <color rgb="FFFF0000"/>
      </left>
      <right style="medium">
        <color rgb="FFFF0000"/>
      </right>
      <top style="medium">
        <color rgb="FFFF0000"/>
      </top>
      <bottom style="medium">
        <color rgb="FFFF0000"/>
      </bottom>
      <diagonal/>
    </border>
    <border>
      <left style="thin">
        <color theme="3" tint="0.59996337778862885"/>
      </left>
      <right style="thin">
        <color theme="3" tint="0.59996337778862885"/>
      </right>
      <top style="thin">
        <color theme="3" tint="0.59996337778862885"/>
      </top>
      <bottom style="thin">
        <color theme="3" tint="0.59996337778862885"/>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right/>
      <top style="medium">
        <color rgb="FF9D5BA1"/>
      </top>
      <bottom style="thick">
        <color rgb="FF754478"/>
      </bottom>
      <diagonal/>
    </border>
    <border>
      <left/>
      <right/>
      <top/>
      <bottom style="medium">
        <color rgb="FF262626"/>
      </bottom>
      <diagonal/>
    </border>
    <border>
      <left/>
      <right/>
      <top/>
      <bottom style="thick">
        <color rgb="FF9D5BA1"/>
      </bottom>
      <diagonal/>
    </border>
    <border>
      <left/>
      <right/>
      <top style="thick">
        <color rgb="FF754478"/>
      </top>
      <bottom style="medium">
        <color rgb="FF262626"/>
      </bottom>
      <diagonal/>
    </border>
    <border>
      <left/>
      <right/>
      <top style="medium">
        <color rgb="FF262626"/>
      </top>
      <bottom/>
      <diagonal/>
    </border>
  </borders>
  <cellStyleXfs count="234">
    <xf numFmtId="0" fontId="0" fillId="0" borderId="0"/>
    <xf numFmtId="0" fontId="1" fillId="0" borderId="0" applyNumberFormat="0" applyFill="0" applyBorder="0" applyAlignment="0" applyProtection="0"/>
    <xf numFmtId="0" fontId="15" fillId="0" borderId="0"/>
    <xf numFmtId="0" fontId="16" fillId="0" borderId="0" applyNumberFormat="0" applyFill="0" applyBorder="0" applyAlignment="0" applyProtection="0"/>
    <xf numFmtId="0" fontId="17" fillId="0" borderId="13" applyNumberFormat="0" applyFill="0" applyAlignment="0" applyProtection="0"/>
    <xf numFmtId="0" fontId="18" fillId="0" borderId="14" applyNumberFormat="0" applyFill="0" applyAlignment="0" applyProtection="0"/>
    <xf numFmtId="0" fontId="19" fillId="0" borderId="15" applyNumberFormat="0" applyFill="0" applyAlignment="0" applyProtection="0"/>
    <xf numFmtId="0" fontId="19" fillId="0" borderId="0" applyNumberFormat="0" applyFill="0" applyBorder="0" applyAlignment="0" applyProtection="0"/>
    <xf numFmtId="0" fontId="20" fillId="9" borderId="0" applyNumberFormat="0" applyBorder="0" applyAlignment="0" applyProtection="0"/>
    <xf numFmtId="0" fontId="21" fillId="10" borderId="0" applyNumberFormat="0" applyBorder="0" applyAlignment="0" applyProtection="0"/>
    <xf numFmtId="0" fontId="22" fillId="11" borderId="0" applyNumberFormat="0" applyBorder="0" applyAlignment="0" applyProtection="0"/>
    <xf numFmtId="0" fontId="23" fillId="12" borderId="16" applyNumberFormat="0" applyAlignment="0" applyProtection="0"/>
    <xf numFmtId="0" fontId="24" fillId="13" borderId="17" applyNumberFormat="0" applyAlignment="0" applyProtection="0"/>
    <xf numFmtId="0" fontId="25" fillId="13" borderId="16" applyNumberFormat="0" applyAlignment="0" applyProtection="0"/>
    <xf numFmtId="0" fontId="26" fillId="0" borderId="18" applyNumberFormat="0" applyFill="0" applyAlignment="0" applyProtection="0"/>
    <xf numFmtId="0" fontId="27" fillId="14" borderId="19" applyNumberFormat="0" applyAlignment="0" applyProtection="0"/>
    <xf numFmtId="0" fontId="28" fillId="0" borderId="0" applyNumberFormat="0" applyFill="0" applyBorder="0" applyAlignment="0" applyProtection="0"/>
    <xf numFmtId="0" fontId="15" fillId="15" borderId="20" applyNumberFormat="0" applyFont="0" applyAlignment="0" applyProtection="0"/>
    <xf numFmtId="0" fontId="29" fillId="0" borderId="0" applyNumberFormat="0" applyFill="0" applyBorder="0" applyAlignment="0" applyProtection="0"/>
    <xf numFmtId="0" fontId="9" fillId="0" borderId="21" applyNumberFormat="0" applyFill="0" applyAlignment="0" applyProtection="0"/>
    <xf numFmtId="0" fontId="30"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30"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3" borderId="0" applyNumberFormat="0" applyBorder="0" applyAlignment="0" applyProtection="0"/>
    <xf numFmtId="0" fontId="30"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7" borderId="0" applyNumberFormat="0" applyBorder="0" applyAlignment="0" applyProtection="0"/>
    <xf numFmtId="0" fontId="30"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1" borderId="0" applyNumberFormat="0" applyBorder="0" applyAlignment="0" applyProtection="0"/>
    <xf numFmtId="0" fontId="30"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5" borderId="0" applyNumberFormat="0" applyBorder="0" applyAlignment="0" applyProtection="0"/>
    <xf numFmtId="0" fontId="30"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39" borderId="0" applyNumberFormat="0" applyBorder="0" applyAlignment="0" applyProtection="0"/>
    <xf numFmtId="43" fontId="15" fillId="0" borderId="0" applyFont="0" applyFill="0" applyBorder="0" applyAlignment="0" applyProtection="0"/>
    <xf numFmtId="0" fontId="36" fillId="0" borderId="0"/>
    <xf numFmtId="0" fontId="38" fillId="0" borderId="0"/>
    <xf numFmtId="43" fontId="36" fillId="0" borderId="0" applyFont="0" applyFill="0" applyBorder="0" applyAlignment="0" applyProtection="0"/>
    <xf numFmtId="0" fontId="36" fillId="0" borderId="0"/>
    <xf numFmtId="43" fontId="36" fillId="0" borderId="0" applyFont="0" applyFill="0" applyBorder="0" applyAlignment="0" applyProtection="0"/>
    <xf numFmtId="166" fontId="15" fillId="0" borderId="0"/>
    <xf numFmtId="166" fontId="36" fillId="0" borderId="0"/>
    <xf numFmtId="43" fontId="36" fillId="0" borderId="0" applyFont="0" applyFill="0" applyBorder="0" applyAlignment="0" applyProtection="0"/>
    <xf numFmtId="166" fontId="36" fillId="0" borderId="0"/>
    <xf numFmtId="166" fontId="15" fillId="0" borderId="0"/>
    <xf numFmtId="167" fontId="40" fillId="0" borderId="22" applyNumberFormat="0" applyAlignment="0" applyProtection="0">
      <alignment horizontal="right" vertical="center" indent="1"/>
    </xf>
    <xf numFmtId="166" fontId="15" fillId="0" borderId="0"/>
    <xf numFmtId="166" fontId="36" fillId="0" borderId="0"/>
    <xf numFmtId="43" fontId="36" fillId="0" borderId="0" applyFont="0" applyFill="0" applyBorder="0" applyAlignment="0" applyProtection="0"/>
    <xf numFmtId="43" fontId="36" fillId="0" borderId="0" applyFont="0" applyFill="0" applyBorder="0" applyAlignment="0" applyProtection="0"/>
    <xf numFmtId="166" fontId="42" fillId="40" borderId="23" applyNumberFormat="0" applyAlignment="0" applyProtection="0">
      <alignment horizontal="left" vertical="center" indent="1"/>
    </xf>
    <xf numFmtId="167" fontId="42" fillId="0" borderId="24" applyNumberFormat="0" applyProtection="0">
      <alignment horizontal="right" vertical="center"/>
    </xf>
    <xf numFmtId="166" fontId="43" fillId="0" borderId="25" applyNumberFormat="0" applyFill="0" applyBorder="0" applyAlignment="0" applyProtection="0"/>
    <xf numFmtId="166" fontId="40" fillId="40" borderId="26" applyNumberFormat="0" applyAlignment="0" applyProtection="0">
      <alignment horizontal="left" vertical="center" indent="1"/>
    </xf>
    <xf numFmtId="166" fontId="40" fillId="41" borderId="26" applyNumberFormat="0" applyAlignment="0" applyProtection="0">
      <alignment horizontal="left" vertical="center" indent="1"/>
    </xf>
    <xf numFmtId="166" fontId="40" fillId="42" borderId="26" applyAlignment="0" applyProtection="0">
      <alignment horizontal="left" vertical="center" indent="1"/>
    </xf>
    <xf numFmtId="166" fontId="40" fillId="40" borderId="26" applyNumberFormat="0" applyAlignment="0" applyProtection="0">
      <alignment horizontal="left" vertical="center" indent="1"/>
    </xf>
    <xf numFmtId="167" fontId="42" fillId="41" borderId="24" applyNumberFormat="0" applyProtection="0">
      <alignment horizontal="right" vertical="center"/>
    </xf>
    <xf numFmtId="167" fontId="42" fillId="42" borderId="24" applyProtection="0">
      <alignment horizontal="right" vertical="center"/>
    </xf>
    <xf numFmtId="167" fontId="44" fillId="43" borderId="27" applyNumberFormat="0" applyBorder="0" applyAlignment="0" applyProtection="0">
      <alignment horizontal="right" vertical="center" indent="1"/>
    </xf>
    <xf numFmtId="167" fontId="45" fillId="44" borderId="27" applyNumberFormat="0" applyBorder="0" applyAlignment="0" applyProtection="0">
      <alignment horizontal="right" vertical="center" indent="1"/>
    </xf>
    <xf numFmtId="167" fontId="45" fillId="45" borderId="27" applyNumberFormat="0" applyBorder="0" applyAlignment="0" applyProtection="0">
      <alignment horizontal="right" vertical="center" indent="1"/>
    </xf>
    <xf numFmtId="167" fontId="46" fillId="46" borderId="27" applyNumberFormat="0" applyBorder="0" applyAlignment="0" applyProtection="0">
      <alignment horizontal="right" vertical="center" indent="1"/>
    </xf>
    <xf numFmtId="167" fontId="46" fillId="47" borderId="27" applyNumberFormat="0" applyBorder="0" applyAlignment="0" applyProtection="0">
      <alignment horizontal="right" vertical="center" indent="1"/>
    </xf>
    <xf numFmtId="167" fontId="46" fillId="48" borderId="27" applyNumberFormat="0" applyBorder="0" applyAlignment="0" applyProtection="0">
      <alignment horizontal="right" vertical="center" indent="1"/>
    </xf>
    <xf numFmtId="167" fontId="47" fillId="49" borderId="27" applyNumberFormat="0" applyBorder="0" applyAlignment="0" applyProtection="0">
      <alignment horizontal="right" vertical="center" indent="1"/>
    </xf>
    <xf numFmtId="167" fontId="47" fillId="50" borderId="27" applyNumberFormat="0" applyBorder="0" applyAlignment="0" applyProtection="0">
      <alignment horizontal="right" vertical="center" indent="1"/>
    </xf>
    <xf numFmtId="167" fontId="47" fillId="51" borderId="27" applyNumberFormat="0" applyBorder="0" applyAlignment="0" applyProtection="0">
      <alignment horizontal="right" vertical="center" indent="1"/>
    </xf>
    <xf numFmtId="166" fontId="37" fillId="0" borderId="25" applyNumberFormat="0" applyFont="0" applyFill="0" applyAlignment="0" applyProtection="0"/>
    <xf numFmtId="167" fontId="41" fillId="52" borderId="23" applyNumberFormat="0" applyAlignment="0" applyProtection="0">
      <alignment horizontal="left" vertical="center" indent="1"/>
    </xf>
    <xf numFmtId="166" fontId="42" fillId="40" borderId="26" applyNumberFormat="0" applyAlignment="0" applyProtection="0">
      <alignment horizontal="left" vertical="center" indent="1"/>
    </xf>
    <xf numFmtId="166" fontId="40" fillId="41" borderId="26" applyNumberFormat="0" applyAlignment="0" applyProtection="0">
      <alignment horizontal="left" vertical="center" indent="1"/>
    </xf>
    <xf numFmtId="166" fontId="40" fillId="40" borderId="26" applyNumberFormat="0" applyAlignment="0" applyProtection="0">
      <alignment horizontal="left" vertical="center" indent="1"/>
    </xf>
    <xf numFmtId="166" fontId="48" fillId="0" borderId="0" applyNumberFormat="0" applyFill="0" applyBorder="0" applyAlignment="0" applyProtection="0">
      <alignment vertical="top"/>
      <protection locked="0"/>
    </xf>
    <xf numFmtId="43" fontId="36" fillId="0" borderId="0" applyFont="0" applyFill="0" applyBorder="0" applyAlignment="0" applyProtection="0"/>
    <xf numFmtId="166" fontId="36" fillId="0" borderId="0"/>
    <xf numFmtId="9" fontId="36" fillId="0" borderId="0" applyFont="0" applyFill="0" applyBorder="0" applyAlignment="0" applyProtection="0"/>
    <xf numFmtId="166" fontId="37" fillId="0" borderId="0"/>
    <xf numFmtId="166" fontId="36" fillId="0" borderId="0"/>
    <xf numFmtId="167" fontId="49" fillId="53" borderId="23" applyNumberFormat="0" applyAlignment="0" applyProtection="0">
      <alignment horizontal="left" vertical="center" indent="1"/>
    </xf>
    <xf numFmtId="166" fontId="36" fillId="0" borderId="0"/>
    <xf numFmtId="0" fontId="15" fillId="0" borderId="0"/>
    <xf numFmtId="168" fontId="36" fillId="0" borderId="0"/>
    <xf numFmtId="0" fontId="36" fillId="0" borderId="0"/>
    <xf numFmtId="43" fontId="36" fillId="0" borderId="0" applyFont="0" applyFill="0" applyBorder="0" applyAlignment="0" applyProtection="0"/>
    <xf numFmtId="167" fontId="50" fillId="53" borderId="0" applyNumberFormat="0" applyAlignment="0" applyProtection="0">
      <alignment horizontal="left" vertical="center" indent="1"/>
    </xf>
    <xf numFmtId="0" fontId="39" fillId="0" borderId="28" applyNumberFormat="0" applyFont="0" applyFill="0" applyAlignment="0" applyProtection="0"/>
    <xf numFmtId="167" fontId="49" fillId="0" borderId="29" applyNumberFormat="0" applyFill="0" applyBorder="0" applyAlignment="0" applyProtection="0">
      <alignment horizontal="right" vertical="center"/>
    </xf>
    <xf numFmtId="166" fontId="15" fillId="0" borderId="0"/>
    <xf numFmtId="0" fontId="36" fillId="0" borderId="0"/>
    <xf numFmtId="0" fontId="52" fillId="0" borderId="0"/>
    <xf numFmtId="0" fontId="53" fillId="0" borderId="0">
      <alignment horizontal="left" vertical="center" wrapText="1"/>
    </xf>
    <xf numFmtId="0" fontId="54" fillId="0" borderId="0" applyNumberFormat="0" applyFill="0" applyBorder="0" applyAlignment="0" applyProtection="0"/>
    <xf numFmtId="0" fontId="55" fillId="0" borderId="0" applyNumberForma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15" fillId="0" borderId="0" applyFont="0" applyFill="0" applyBorder="0" applyAlignment="0" applyProtection="0"/>
    <xf numFmtId="44" fontId="15"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0" fontId="51" fillId="0" borderId="0"/>
    <xf numFmtId="168" fontId="36" fillId="0" borderId="0"/>
    <xf numFmtId="43" fontId="51" fillId="0" borderId="0" applyFont="0" applyFill="0" applyBorder="0" applyAlignment="0" applyProtection="0"/>
    <xf numFmtId="0" fontId="36" fillId="0" borderId="0"/>
    <xf numFmtId="43" fontId="15" fillId="0" borderId="0" applyFont="0" applyFill="0" applyBorder="0" applyAlignment="0" applyProtection="0"/>
    <xf numFmtId="0" fontId="56" fillId="0" borderId="0" applyNumberFormat="0" applyFill="0" applyBorder="0" applyAlignment="0" applyProtection="0">
      <alignment vertical="top"/>
      <protection locked="0"/>
    </xf>
    <xf numFmtId="0" fontId="36" fillId="0" borderId="0"/>
    <xf numFmtId="0" fontId="36" fillId="0" borderId="0"/>
    <xf numFmtId="0" fontId="15" fillId="0" borderId="0"/>
    <xf numFmtId="169" fontId="36" fillId="0" borderId="0" applyNumberFormat="0"/>
    <xf numFmtId="43" fontId="36" fillId="0" borderId="0" applyFont="0" applyFill="0" applyBorder="0" applyAlignment="0" applyProtection="0"/>
    <xf numFmtId="43" fontId="15" fillId="0" borderId="0" applyFont="0" applyFill="0" applyBorder="0" applyAlignment="0" applyProtection="0"/>
    <xf numFmtId="0" fontId="57" fillId="0" borderId="0"/>
    <xf numFmtId="0" fontId="58" fillId="0" borderId="0"/>
    <xf numFmtId="0" fontId="59" fillId="0" borderId="0"/>
    <xf numFmtId="1" fontId="60" fillId="0" borderId="0">
      <alignment horizontal="center"/>
    </xf>
    <xf numFmtId="1" fontId="60" fillId="0" borderId="0"/>
    <xf numFmtId="1" fontId="61" fillId="0" borderId="0"/>
    <xf numFmtId="1" fontId="62" fillId="0" borderId="0"/>
    <xf numFmtId="0" fontId="1" fillId="0" borderId="0" applyNumberFormat="0" applyFill="0" applyBorder="0" applyAlignment="0" applyProtection="0"/>
    <xf numFmtId="0" fontId="63" fillId="0" borderId="0" applyNumberFormat="0" applyFill="0" applyBorder="0" applyAlignment="0" applyProtection="0"/>
    <xf numFmtId="0" fontId="36" fillId="0" borderId="0"/>
    <xf numFmtId="0" fontId="64" fillId="0" borderId="0"/>
    <xf numFmtId="0" fontId="36" fillId="0" borderId="0" applyFont="0" applyFill="0" applyBorder="0" applyAlignment="0" applyProtection="0"/>
    <xf numFmtId="0" fontId="36" fillId="0" borderId="0" applyFont="0" applyFill="0" applyBorder="0" applyAlignment="0" applyProtection="0"/>
    <xf numFmtId="0" fontId="65" fillId="0" borderId="0"/>
    <xf numFmtId="0" fontId="15" fillId="0" borderId="0"/>
    <xf numFmtId="0" fontId="66" fillId="0" borderId="0"/>
    <xf numFmtId="0" fontId="15" fillId="0" borderId="0"/>
    <xf numFmtId="0" fontId="15" fillId="0" borderId="0"/>
    <xf numFmtId="0" fontId="15" fillId="0" borderId="0"/>
    <xf numFmtId="0" fontId="36" fillId="0" borderId="0" applyFont="0" applyFill="0" applyBorder="0" applyAlignment="0" applyProtection="0"/>
    <xf numFmtId="0" fontId="36" fillId="0" borderId="0" applyFont="0" applyFill="0" applyBorder="0" applyAlignment="0" applyProtection="0"/>
    <xf numFmtId="0" fontId="15" fillId="0" borderId="0"/>
    <xf numFmtId="0" fontId="15" fillId="0" borderId="0"/>
    <xf numFmtId="0" fontId="65" fillId="0" borderId="0"/>
    <xf numFmtId="0" fontId="51"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6" fillId="0" borderId="0" applyFont="0" applyFill="0" applyBorder="0" applyAlignment="0" applyProtection="0"/>
    <xf numFmtId="0" fontId="67" fillId="0" borderId="0"/>
    <xf numFmtId="0" fontId="68" fillId="0" borderId="0"/>
    <xf numFmtId="0" fontId="69" fillId="0" borderId="0"/>
    <xf numFmtId="0" fontId="70" fillId="0" borderId="0"/>
    <xf numFmtId="0" fontId="61" fillId="0" borderId="0"/>
    <xf numFmtId="0" fontId="61" fillId="0" borderId="0"/>
    <xf numFmtId="0" fontId="61" fillId="0" borderId="0"/>
    <xf numFmtId="0" fontId="71" fillId="0" borderId="0"/>
    <xf numFmtId="168" fontId="36" fillId="0" borderId="0"/>
    <xf numFmtId="0" fontId="65" fillId="0" borderId="0"/>
    <xf numFmtId="0" fontId="15" fillId="0" borderId="0"/>
    <xf numFmtId="0" fontId="1" fillId="0" borderId="0" applyNumberFormat="0" applyFill="0" applyBorder="0" applyAlignment="0" applyProtection="0"/>
    <xf numFmtId="43" fontId="15" fillId="0" borderId="0" applyFont="0" applyFill="0" applyBorder="0" applyAlignment="0" applyProtection="0"/>
    <xf numFmtId="0" fontId="15" fillId="15" borderId="20" applyNumberFormat="0" applyFont="0" applyAlignment="0" applyProtection="0"/>
    <xf numFmtId="9" fontId="15"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15" fillId="0" borderId="0" applyFont="0" applyFill="0" applyBorder="0" applyAlignment="0" applyProtection="0"/>
    <xf numFmtId="44" fontId="15"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3" fontId="51" fillId="0" borderId="0" applyFont="0" applyFill="0" applyBorder="0" applyAlignment="0" applyProtection="0"/>
    <xf numFmtId="43" fontId="15" fillId="0" borderId="0" applyFont="0" applyFill="0" applyBorder="0" applyAlignment="0" applyProtection="0"/>
    <xf numFmtId="43" fontId="36" fillId="0" borderId="0" applyFont="0" applyFill="0" applyBorder="0" applyAlignment="0" applyProtection="0"/>
    <xf numFmtId="43" fontId="15" fillId="0" borderId="0" applyFont="0" applyFill="0" applyBorder="0" applyAlignment="0" applyProtection="0"/>
    <xf numFmtId="0" fontId="65" fillId="0" borderId="0"/>
    <xf numFmtId="43" fontId="36" fillId="0" borderId="0" applyFont="0" applyFill="0" applyBorder="0" applyAlignment="0" applyProtection="0"/>
    <xf numFmtId="43" fontId="15" fillId="0" borderId="0" applyFont="0" applyFill="0" applyBorder="0" applyAlignment="0" applyProtection="0"/>
    <xf numFmtId="43" fontId="36" fillId="0" borderId="0" applyFont="0" applyFill="0" applyBorder="0" applyAlignment="0" applyProtection="0"/>
    <xf numFmtId="0" fontId="66" fillId="0" borderId="0"/>
    <xf numFmtId="0" fontId="36" fillId="0" borderId="0">
      <protection locked="0"/>
    </xf>
  </cellStyleXfs>
  <cellXfs count="190">
    <xf numFmtId="0" fontId="0" fillId="0" borderId="0" xfId="0"/>
    <xf numFmtId="0" fontId="2" fillId="2" borderId="0" xfId="0" applyFont="1" applyFill="1"/>
    <xf numFmtId="0" fontId="3" fillId="2" borderId="0" xfId="0" applyFont="1" applyFill="1"/>
    <xf numFmtId="0" fontId="4" fillId="2" borderId="0" xfId="0" applyFont="1" applyFill="1"/>
    <xf numFmtId="0" fontId="5" fillId="2" borderId="0" xfId="1" applyFont="1" applyFill="1"/>
    <xf numFmtId="0" fontId="6" fillId="2" borderId="0" xfId="0" applyFont="1" applyFill="1"/>
    <xf numFmtId="0" fontId="7" fillId="3" borderId="0" xfId="0" applyFont="1" applyFill="1"/>
    <xf numFmtId="0" fontId="7" fillId="3" borderId="0" xfId="0" applyFont="1" applyFill="1" applyAlignment="1">
      <alignment horizontal="right"/>
    </xf>
    <xf numFmtId="164" fontId="3" fillId="2" borderId="0" xfId="0" applyNumberFormat="1" applyFont="1" applyFill="1"/>
    <xf numFmtId="165" fontId="3" fillId="2" borderId="0" xfId="0" applyNumberFormat="1" applyFont="1" applyFill="1"/>
    <xf numFmtId="0" fontId="8" fillId="2" borderId="0" xfId="0" applyFont="1" applyFill="1"/>
    <xf numFmtId="0" fontId="3" fillId="0" borderId="0" xfId="0" applyFont="1"/>
    <xf numFmtId="0" fontId="6" fillId="4" borderId="0" xfId="0" applyFont="1" applyFill="1"/>
    <xf numFmtId="0" fontId="3" fillId="4" borderId="0" xfId="0" applyFont="1" applyFill="1"/>
    <xf numFmtId="0" fontId="11" fillId="4" borderId="0" xfId="0" applyFont="1" applyFill="1"/>
    <xf numFmtId="0" fontId="11" fillId="0" borderId="0" xfId="0" applyFont="1"/>
    <xf numFmtId="0" fontId="12" fillId="3" borderId="9" xfId="0" applyFont="1" applyFill="1" applyBorder="1"/>
    <xf numFmtId="0" fontId="8" fillId="2" borderId="0" xfId="0" applyFont="1" applyFill="1" applyAlignment="1">
      <alignment wrapText="1"/>
    </xf>
    <xf numFmtId="0" fontId="8" fillId="4" borderId="0" xfId="0" applyFont="1" applyFill="1" applyAlignment="1">
      <alignment horizontal="left" wrapText="1"/>
    </xf>
    <xf numFmtId="0" fontId="6" fillId="0" borderId="0" xfId="0" applyFont="1" applyAlignment="1">
      <alignment vertical="top" wrapText="1"/>
    </xf>
    <xf numFmtId="0" fontId="33" fillId="0" borderId="0" xfId="0" applyFont="1" applyAlignment="1">
      <alignment horizontal="center" vertical="top" wrapText="1"/>
    </xf>
    <xf numFmtId="165" fontId="3" fillId="0" borderId="0" xfId="0" applyNumberFormat="1" applyFont="1"/>
    <xf numFmtId="0" fontId="34" fillId="0" borderId="0" xfId="0" applyFont="1"/>
    <xf numFmtId="0" fontId="3" fillId="8" borderId="0" xfId="0" applyFont="1" applyFill="1"/>
    <xf numFmtId="0" fontId="3" fillId="8" borderId="0" xfId="0" applyFont="1" applyFill="1" applyAlignment="1">
      <alignment wrapText="1"/>
    </xf>
    <xf numFmtId="0" fontId="3" fillId="0" borderId="0" xfId="0" applyFont="1" applyAlignment="1">
      <alignment vertical="top" wrapText="1"/>
    </xf>
    <xf numFmtId="0" fontId="3" fillId="0" borderId="0" xfId="0" applyFont="1" applyAlignment="1">
      <alignment horizontal="center" vertical="top" wrapText="1"/>
    </xf>
    <xf numFmtId="0" fontId="35" fillId="2" borderId="0" xfId="0" applyFont="1" applyFill="1"/>
    <xf numFmtId="0" fontId="72" fillId="40" borderId="0" xfId="0" applyFont="1" applyFill="1"/>
    <xf numFmtId="0" fontId="73" fillId="40" borderId="0" xfId="0" applyFont="1" applyFill="1"/>
    <xf numFmtId="0" fontId="35" fillId="40" borderId="0" xfId="0" applyFont="1" applyFill="1"/>
    <xf numFmtId="0" fontId="73" fillId="40" borderId="0" xfId="0" applyFont="1" applyFill="1" applyAlignment="1">
      <alignment vertical="center"/>
    </xf>
    <xf numFmtId="0" fontId="74" fillId="40" borderId="0" xfId="0" applyFont="1" applyFill="1"/>
    <xf numFmtId="0" fontId="12" fillId="3" borderId="3" xfId="0" applyFont="1" applyFill="1" applyBorder="1"/>
    <xf numFmtId="0" fontId="12" fillId="3" borderId="2" xfId="0" applyFont="1" applyFill="1" applyBorder="1"/>
    <xf numFmtId="0" fontId="12" fillId="3" borderId="5" xfId="0" applyFont="1" applyFill="1" applyBorder="1"/>
    <xf numFmtId="0" fontId="12" fillId="3" borderId="10" xfId="0" applyFont="1" applyFill="1" applyBorder="1"/>
    <xf numFmtId="0" fontId="14" fillId="4" borderId="0" xfId="0" applyFont="1" applyFill="1" applyAlignment="1">
      <alignment horizontal="left" vertical="center" wrapText="1"/>
    </xf>
    <xf numFmtId="0" fontId="14" fillId="4" borderId="0" xfId="0" applyFont="1" applyFill="1"/>
    <xf numFmtId="0" fontId="14" fillId="4" borderId="0" xfId="0" applyFont="1" applyFill="1" applyAlignment="1">
      <alignment wrapText="1"/>
    </xf>
    <xf numFmtId="165" fontId="14" fillId="4" borderId="0" xfId="0" applyNumberFormat="1" applyFont="1" applyFill="1"/>
    <xf numFmtId="0" fontId="9" fillId="5" borderId="0" xfId="0" applyFont="1" applyFill="1"/>
    <xf numFmtId="0" fontId="73" fillId="54" borderId="0" xfId="0" applyFont="1" applyFill="1" applyAlignment="1">
      <alignment wrapText="1"/>
    </xf>
    <xf numFmtId="0" fontId="72" fillId="54" borderId="0" xfId="0" applyFont="1" applyFill="1"/>
    <xf numFmtId="0" fontId="77" fillId="0" borderId="30" xfId="0" applyFont="1" applyBorder="1" applyAlignment="1">
      <alignment vertical="center" wrapText="1"/>
    </xf>
    <xf numFmtId="0" fontId="78" fillId="4" borderId="31" xfId="0" applyFont="1" applyFill="1" applyBorder="1" applyAlignment="1">
      <alignment horizontal="center" vertical="center"/>
    </xf>
    <xf numFmtId="0" fontId="79" fillId="4" borderId="31" xfId="0" applyFont="1" applyFill="1" applyBorder="1" applyAlignment="1">
      <alignment vertical="center" wrapText="1"/>
    </xf>
    <xf numFmtId="0" fontId="80" fillId="0" borderId="30" xfId="0" applyFont="1" applyBorder="1" applyAlignment="1">
      <alignment vertical="center" wrapText="1"/>
    </xf>
    <xf numFmtId="0" fontId="81" fillId="4" borderId="31" xfId="0" applyFont="1" applyFill="1" applyBorder="1" applyAlignment="1">
      <alignment horizontal="center" vertical="center"/>
    </xf>
    <xf numFmtId="0" fontId="86" fillId="0" borderId="31" xfId="0" applyFont="1" applyBorder="1" applyAlignment="1">
      <alignment horizontal="center" vertical="center"/>
    </xf>
    <xf numFmtId="0" fontId="14" fillId="6" borderId="3" xfId="0" applyFont="1" applyFill="1" applyBorder="1" applyAlignment="1">
      <alignment vertical="center" wrapText="1"/>
    </xf>
    <xf numFmtId="0" fontId="14" fillId="6" borderId="9" xfId="0" applyFont="1" applyFill="1" applyBorder="1" applyAlignment="1">
      <alignment vertical="center" wrapText="1"/>
    </xf>
    <xf numFmtId="0" fontId="14" fillId="7" borderId="3" xfId="0" applyFont="1" applyFill="1" applyBorder="1" applyAlignment="1">
      <alignment vertical="center" wrapText="1"/>
    </xf>
    <xf numFmtId="0" fontId="14" fillId="7" borderId="9" xfId="0" applyFont="1" applyFill="1" applyBorder="1" applyAlignment="1">
      <alignment vertical="center" wrapText="1"/>
    </xf>
    <xf numFmtId="0" fontId="13" fillId="6" borderId="7" xfId="0" applyFont="1" applyFill="1" applyBorder="1" applyAlignment="1">
      <alignment vertical="center" wrapText="1"/>
    </xf>
    <xf numFmtId="0" fontId="13" fillId="7" borderId="7" xfId="0" applyFont="1" applyFill="1" applyBorder="1" applyAlignment="1">
      <alignment vertical="center" wrapText="1"/>
    </xf>
    <xf numFmtId="0" fontId="12" fillId="3" borderId="10" xfId="0" applyFont="1" applyFill="1" applyBorder="1" applyAlignment="1">
      <alignment horizontal="right" wrapText="1"/>
    </xf>
    <xf numFmtId="0" fontId="12" fillId="3" borderId="12" xfId="0" applyFont="1" applyFill="1" applyBorder="1" applyAlignment="1">
      <alignment horizontal="right" wrapText="1"/>
    </xf>
    <xf numFmtId="0" fontId="3" fillId="6" borderId="3" xfId="0" applyFont="1" applyFill="1" applyBorder="1"/>
    <xf numFmtId="0" fontId="3" fillId="6" borderId="2" xfId="0" applyFont="1" applyFill="1" applyBorder="1"/>
    <xf numFmtId="0" fontId="3" fillId="6" borderId="7" xfId="0" applyFont="1" applyFill="1" applyBorder="1"/>
    <xf numFmtId="0" fontId="3" fillId="6" borderId="6" xfId="0" applyFont="1" applyFill="1" applyBorder="1"/>
    <xf numFmtId="0" fontId="3" fillId="6" borderId="9" xfId="0" applyFont="1" applyFill="1" applyBorder="1"/>
    <xf numFmtId="0" fontId="3" fillId="6" borderId="10" xfId="0" applyFont="1" applyFill="1" applyBorder="1"/>
    <xf numFmtId="0" fontId="3" fillId="7" borderId="3" xfId="0" applyFont="1" applyFill="1" applyBorder="1"/>
    <xf numFmtId="0" fontId="3" fillId="7" borderId="2" xfId="0" applyFont="1" applyFill="1" applyBorder="1"/>
    <xf numFmtId="0" fontId="3" fillId="7" borderId="7" xfId="0" applyFont="1" applyFill="1" applyBorder="1"/>
    <xf numFmtId="0" fontId="3" fillId="7" borderId="6" xfId="0" applyFont="1" applyFill="1" applyBorder="1"/>
    <xf numFmtId="0" fontId="3" fillId="7" borderId="9" xfId="0" applyFont="1" applyFill="1" applyBorder="1"/>
    <xf numFmtId="0" fontId="3" fillId="7" borderId="10" xfId="0" applyFont="1" applyFill="1" applyBorder="1"/>
    <xf numFmtId="0" fontId="7" fillId="3" borderId="32" xfId="0" applyFont="1" applyFill="1" applyBorder="1"/>
    <xf numFmtId="0" fontId="7" fillId="3" borderId="33" xfId="0" applyFont="1" applyFill="1" applyBorder="1"/>
    <xf numFmtId="165" fontId="14" fillId="6" borderId="3" xfId="0" applyNumberFormat="1" applyFont="1" applyFill="1" applyBorder="1" applyAlignment="1">
      <alignment vertical="center" wrapText="1"/>
    </xf>
    <xf numFmtId="165" fontId="14" fillId="6" borderId="2" xfId="0" applyNumberFormat="1" applyFont="1" applyFill="1" applyBorder="1" applyAlignment="1">
      <alignment vertical="center" wrapText="1"/>
    </xf>
    <xf numFmtId="165" fontId="13" fillId="6" borderId="7" xfId="0" applyNumberFormat="1" applyFont="1" applyFill="1" applyBorder="1" applyAlignment="1">
      <alignment vertical="center" wrapText="1"/>
    </xf>
    <xf numFmtId="165" fontId="13" fillId="6" borderId="6" xfId="0" applyNumberFormat="1" applyFont="1" applyFill="1" applyBorder="1" applyAlignment="1">
      <alignment vertical="center" wrapText="1"/>
    </xf>
    <xf numFmtId="165" fontId="14" fillId="6" borderId="9" xfId="0" applyNumberFormat="1" applyFont="1" applyFill="1" applyBorder="1" applyAlignment="1">
      <alignment vertical="center" wrapText="1"/>
    </xf>
    <xf numFmtId="165" fontId="14" fillId="6" borderId="10" xfId="0" applyNumberFormat="1" applyFont="1" applyFill="1" applyBorder="1" applyAlignment="1">
      <alignment vertical="center" wrapText="1"/>
    </xf>
    <xf numFmtId="165" fontId="14" fillId="7" borderId="3" xfId="0" applyNumberFormat="1" applyFont="1" applyFill="1" applyBorder="1" applyAlignment="1">
      <alignment vertical="center" wrapText="1"/>
    </xf>
    <xf numFmtId="165" fontId="14" fillId="7" borderId="2" xfId="0" applyNumberFormat="1" applyFont="1" applyFill="1" applyBorder="1" applyAlignment="1">
      <alignment vertical="center" wrapText="1"/>
    </xf>
    <xf numFmtId="165" fontId="13" fillId="7" borderId="7" xfId="0" applyNumberFormat="1" applyFont="1" applyFill="1" applyBorder="1" applyAlignment="1">
      <alignment vertical="center" wrapText="1"/>
    </xf>
    <xf numFmtId="165" fontId="13" fillId="7" borderId="6" xfId="0" applyNumberFormat="1" applyFont="1" applyFill="1" applyBorder="1" applyAlignment="1">
      <alignment vertical="center" wrapText="1"/>
    </xf>
    <xf numFmtId="165" fontId="14" fillId="7" borderId="9" xfId="0" applyNumberFormat="1" applyFont="1" applyFill="1" applyBorder="1" applyAlignment="1">
      <alignment vertical="center" wrapText="1"/>
    </xf>
    <xf numFmtId="165" fontId="14" fillId="7" borderId="10" xfId="0" applyNumberFormat="1" applyFont="1" applyFill="1" applyBorder="1" applyAlignment="1">
      <alignment vertical="center" wrapText="1"/>
    </xf>
    <xf numFmtId="0" fontId="89" fillId="3" borderId="35" xfId="0" applyFont="1" applyFill="1" applyBorder="1" applyAlignment="1">
      <alignment horizontal="center" vertical="center"/>
    </xf>
    <xf numFmtId="0" fontId="89" fillId="3" borderId="36" xfId="0" applyFont="1" applyFill="1" applyBorder="1" applyAlignment="1">
      <alignment horizontal="center" vertical="center"/>
    </xf>
    <xf numFmtId="0" fontId="89" fillId="3" borderId="37" xfId="0" applyFont="1" applyFill="1" applyBorder="1" applyAlignment="1">
      <alignment vertical="center"/>
    </xf>
    <xf numFmtId="0" fontId="89" fillId="3" borderId="38" xfId="0" applyFont="1" applyFill="1" applyBorder="1" applyAlignment="1">
      <alignment horizontal="center" vertical="center"/>
    </xf>
    <xf numFmtId="0" fontId="85" fillId="0" borderId="30" xfId="0" applyFont="1" applyBorder="1" applyAlignment="1">
      <alignment vertical="center" wrapText="1"/>
    </xf>
    <xf numFmtId="0" fontId="35" fillId="4" borderId="0" xfId="0" applyFont="1" applyFill="1"/>
    <xf numFmtId="0" fontId="73" fillId="54" borderId="0" xfId="0" applyFont="1" applyFill="1"/>
    <xf numFmtId="0" fontId="75" fillId="54" borderId="0" xfId="0" applyFont="1" applyFill="1" applyAlignment="1">
      <alignment horizontal="center" vertical="center" wrapText="1"/>
    </xf>
    <xf numFmtId="0" fontId="73" fillId="54" borderId="0" xfId="0" applyFont="1" applyFill="1" applyAlignment="1">
      <alignment horizontal="left" vertical="top" wrapText="1"/>
    </xf>
    <xf numFmtId="0" fontId="75" fillId="54" borderId="0" xfId="0" applyFont="1" applyFill="1" applyAlignment="1">
      <alignment horizontal="left" vertical="top" wrapText="1"/>
    </xf>
    <xf numFmtId="0" fontId="75" fillId="54" borderId="0" xfId="0" applyFont="1" applyFill="1" applyAlignment="1">
      <alignment horizontal="left" vertical="center"/>
    </xf>
    <xf numFmtId="0" fontId="92" fillId="58" borderId="0" xfId="0" applyFont="1" applyFill="1" applyAlignment="1">
      <alignment vertical="center" wrapText="1"/>
    </xf>
    <xf numFmtId="0" fontId="93" fillId="58" borderId="0" xfId="0" applyFont="1" applyFill="1" applyAlignment="1">
      <alignment vertical="center" wrapText="1"/>
    </xf>
    <xf numFmtId="0" fontId="93" fillId="58" borderId="42" xfId="0" applyFont="1" applyFill="1" applyBorder="1" applyAlignment="1">
      <alignment vertical="center" wrapText="1"/>
    </xf>
    <xf numFmtId="0" fontId="93" fillId="58" borderId="43" xfId="0" applyFont="1" applyFill="1" applyBorder="1" applyAlignment="1">
      <alignment vertical="center" wrapText="1"/>
    </xf>
    <xf numFmtId="0" fontId="92" fillId="57" borderId="43" xfId="0" applyFont="1" applyFill="1" applyBorder="1" applyAlignment="1">
      <alignment vertical="center" wrapText="1"/>
    </xf>
    <xf numFmtId="0" fontId="92" fillId="4" borderId="45" xfId="0" applyFont="1" applyFill="1" applyBorder="1" applyAlignment="1">
      <alignment vertical="center" wrapText="1"/>
    </xf>
    <xf numFmtId="0" fontId="93" fillId="4" borderId="0" xfId="0" applyFont="1" applyFill="1" applyAlignment="1">
      <alignment vertical="center" wrapText="1"/>
    </xf>
    <xf numFmtId="0" fontId="92" fillId="4" borderId="0" xfId="0" applyFont="1" applyFill="1" applyAlignment="1">
      <alignment vertical="center" wrapText="1"/>
    </xf>
    <xf numFmtId="0" fontId="92" fillId="4" borderId="38" xfId="0" applyFont="1" applyFill="1" applyBorder="1" applyAlignment="1">
      <alignment vertical="center" wrapText="1"/>
    </xf>
    <xf numFmtId="0" fontId="6" fillId="0" borderId="0" xfId="0" applyFont="1" applyAlignment="1" applyProtection="1">
      <alignment vertical="top"/>
      <protection hidden="1"/>
    </xf>
    <xf numFmtId="0" fontId="33" fillId="0" borderId="0" xfId="0" applyFont="1" applyAlignment="1" applyProtection="1">
      <alignment horizontal="center" vertical="top" wrapText="1"/>
      <protection hidden="1"/>
    </xf>
    <xf numFmtId="0" fontId="33" fillId="5" borderId="0" xfId="0" applyFont="1" applyFill="1" applyAlignment="1" applyProtection="1">
      <alignment vertical="top" wrapText="1"/>
      <protection hidden="1"/>
    </xf>
    <xf numFmtId="165" fontId="33" fillId="6" borderId="0" xfId="0" applyNumberFormat="1" applyFont="1" applyFill="1" applyAlignment="1" applyProtection="1">
      <alignment horizontal="center" vertical="top" wrapText="1"/>
      <protection hidden="1"/>
    </xf>
    <xf numFmtId="165" fontId="33" fillId="0" borderId="0" xfId="0" applyNumberFormat="1" applyFont="1" applyAlignment="1" applyProtection="1">
      <alignment horizontal="center" vertical="top" wrapText="1"/>
      <protection hidden="1"/>
    </xf>
    <xf numFmtId="0" fontId="88" fillId="6" borderId="0" xfId="0" applyFont="1" applyFill="1" applyProtection="1">
      <protection locked="0" hidden="1"/>
    </xf>
    <xf numFmtId="0" fontId="3" fillId="4" borderId="0" xfId="0" applyFont="1" applyFill="1" applyAlignment="1">
      <alignment horizontal="right"/>
    </xf>
    <xf numFmtId="0" fontId="7" fillId="3" borderId="33" xfId="0" applyFont="1" applyFill="1" applyBorder="1" applyAlignment="1">
      <alignment horizontal="right"/>
    </xf>
    <xf numFmtId="0" fontId="7" fillId="3" borderId="34" xfId="0" applyFont="1" applyFill="1" applyBorder="1" applyAlignment="1">
      <alignment horizontal="right"/>
    </xf>
    <xf numFmtId="165" fontId="3" fillId="6" borderId="4" xfId="0" applyNumberFormat="1" applyFont="1" applyFill="1" applyBorder="1" applyAlignment="1">
      <alignment horizontal="right"/>
    </xf>
    <xf numFmtId="165" fontId="3" fillId="6" borderId="5" xfId="0" applyNumberFormat="1" applyFont="1" applyFill="1" applyBorder="1" applyAlignment="1">
      <alignment horizontal="right"/>
    </xf>
    <xf numFmtId="165" fontId="3" fillId="6" borderId="0" xfId="0" applyNumberFormat="1" applyFont="1" applyFill="1" applyAlignment="1">
      <alignment horizontal="right"/>
    </xf>
    <xf numFmtId="165" fontId="3" fillId="6" borderId="8" xfId="0" applyNumberFormat="1" applyFont="1" applyFill="1" applyBorder="1" applyAlignment="1">
      <alignment horizontal="right"/>
    </xf>
    <xf numFmtId="165" fontId="3" fillId="6" borderId="11" xfId="0" applyNumberFormat="1" applyFont="1" applyFill="1" applyBorder="1" applyAlignment="1">
      <alignment horizontal="right"/>
    </xf>
    <xf numFmtId="165" fontId="3" fillId="6" borderId="12" xfId="0" applyNumberFormat="1" applyFont="1" applyFill="1" applyBorder="1" applyAlignment="1">
      <alignment horizontal="right"/>
    </xf>
    <xf numFmtId="165" fontId="3" fillId="7" borderId="4" xfId="0" applyNumberFormat="1" applyFont="1" applyFill="1" applyBorder="1" applyAlignment="1">
      <alignment horizontal="right"/>
    </xf>
    <xf numFmtId="165" fontId="3" fillId="7" borderId="5" xfId="0" applyNumberFormat="1" applyFont="1" applyFill="1" applyBorder="1" applyAlignment="1">
      <alignment horizontal="right"/>
    </xf>
    <xf numFmtId="165" fontId="3" fillId="7" borderId="0" xfId="0" applyNumberFormat="1" applyFont="1" applyFill="1" applyAlignment="1">
      <alignment horizontal="right"/>
    </xf>
    <xf numFmtId="165" fontId="3" fillId="7" borderId="8" xfId="0" applyNumberFormat="1" applyFont="1" applyFill="1" applyBorder="1" applyAlignment="1">
      <alignment horizontal="right"/>
    </xf>
    <xf numFmtId="165" fontId="3" fillId="7" borderId="11" xfId="0" applyNumberFormat="1" applyFont="1" applyFill="1" applyBorder="1" applyAlignment="1">
      <alignment horizontal="right"/>
    </xf>
    <xf numFmtId="165" fontId="3" fillId="7" borderId="12" xfId="0" applyNumberFormat="1" applyFont="1" applyFill="1" applyBorder="1" applyAlignment="1">
      <alignment horizontal="right"/>
    </xf>
    <xf numFmtId="0" fontId="35" fillId="4" borderId="0" xfId="0" applyFont="1" applyFill="1" applyAlignment="1">
      <alignment horizontal="right"/>
    </xf>
    <xf numFmtId="0" fontId="35" fillId="4" borderId="0" xfId="0" applyFont="1" applyFill="1" applyAlignment="1">
      <alignment horizontal="right" wrapText="1"/>
    </xf>
    <xf numFmtId="165" fontId="3" fillId="2" borderId="0" xfId="0" applyNumberFormat="1" applyFont="1" applyFill="1" applyAlignment="1">
      <alignment horizontal="right"/>
    </xf>
    <xf numFmtId="0" fontId="3" fillId="2" borderId="0" xfId="0" applyFont="1" applyFill="1" applyAlignment="1">
      <alignment horizontal="right"/>
    </xf>
    <xf numFmtId="164" fontId="3" fillId="2" borderId="0" xfId="0" applyNumberFormat="1" applyFont="1" applyFill="1" applyAlignment="1">
      <alignment horizontal="right"/>
    </xf>
    <xf numFmtId="3" fontId="83" fillId="4" borderId="40" xfId="0" applyNumberFormat="1" applyFont="1" applyFill="1" applyBorder="1" applyAlignment="1">
      <alignment horizontal="center" vertical="center"/>
    </xf>
    <xf numFmtId="3" fontId="83" fillId="4" borderId="39" xfId="0" applyNumberFormat="1" applyFont="1" applyFill="1" applyBorder="1" applyAlignment="1">
      <alignment horizontal="center" vertical="center"/>
    </xf>
    <xf numFmtId="3" fontId="83" fillId="4" borderId="30" xfId="0" applyNumberFormat="1" applyFont="1" applyFill="1" applyBorder="1" applyAlignment="1">
      <alignment horizontal="center" vertical="center"/>
    </xf>
    <xf numFmtId="0" fontId="89" fillId="3" borderId="36" xfId="0" applyFont="1" applyFill="1" applyBorder="1" applyAlignment="1">
      <alignment horizontal="center" vertical="center"/>
    </xf>
    <xf numFmtId="0" fontId="83" fillId="4" borderId="40" xfId="0" applyFont="1" applyFill="1" applyBorder="1" applyAlignment="1">
      <alignment horizontal="center" vertical="center"/>
    </xf>
    <xf numFmtId="0" fontId="83" fillId="4" borderId="39" xfId="0" applyFont="1" applyFill="1" applyBorder="1" applyAlignment="1">
      <alignment horizontal="center" vertical="center"/>
    </xf>
    <xf numFmtId="0" fontId="83" fillId="4" borderId="30" xfId="0" applyFont="1" applyFill="1" applyBorder="1" applyAlignment="1">
      <alignment horizontal="center" vertical="center"/>
    </xf>
    <xf numFmtId="0" fontId="79" fillId="4" borderId="40" xfId="0" applyFont="1" applyFill="1" applyBorder="1" applyAlignment="1">
      <alignment vertical="center" wrapText="1"/>
    </xf>
    <xf numFmtId="0" fontId="79" fillId="4" borderId="39" xfId="0" applyFont="1" applyFill="1" applyBorder="1" applyAlignment="1">
      <alignment vertical="center" wrapText="1"/>
    </xf>
    <xf numFmtId="0" fontId="79" fillId="4" borderId="30" xfId="0" applyFont="1" applyFill="1" applyBorder="1" applyAlignment="1">
      <alignment vertical="center" wrapText="1"/>
    </xf>
    <xf numFmtId="0" fontId="14" fillId="2" borderId="0" xfId="0" applyFont="1" applyFill="1" applyAlignment="1">
      <alignment horizontal="left" vertical="center" wrapText="1"/>
    </xf>
    <xf numFmtId="0" fontId="82" fillId="0" borderId="40" xfId="0" applyFont="1" applyBorder="1" applyAlignment="1">
      <alignment horizontal="left" vertical="center" wrapText="1"/>
    </xf>
    <xf numFmtId="0" fontId="82" fillId="0" borderId="39" xfId="0" applyFont="1" applyBorder="1" applyAlignment="1">
      <alignment horizontal="left" vertical="center" wrapText="1"/>
    </xf>
    <xf numFmtId="0" fontId="82" fillId="0" borderId="30" xfId="0" applyFont="1" applyBorder="1" applyAlignment="1">
      <alignment horizontal="left" vertical="center" wrapText="1"/>
    </xf>
    <xf numFmtId="0" fontId="14" fillId="2" borderId="0" xfId="0" applyFont="1" applyFill="1" applyAlignment="1">
      <alignment horizontal="left" vertical="center"/>
    </xf>
    <xf numFmtId="0" fontId="84" fillId="4" borderId="40" xfId="0" applyFont="1" applyFill="1" applyBorder="1" applyAlignment="1">
      <alignment horizontal="center" vertical="center"/>
    </xf>
    <xf numFmtId="0" fontId="84" fillId="4" borderId="39" xfId="0" applyFont="1" applyFill="1" applyBorder="1" applyAlignment="1">
      <alignment horizontal="center" vertical="center"/>
    </xf>
    <xf numFmtId="0" fontId="84" fillId="4" borderId="30" xfId="0" applyFont="1" applyFill="1" applyBorder="1" applyAlignment="1">
      <alignment horizontal="center" vertical="center"/>
    </xf>
    <xf numFmtId="0" fontId="90" fillId="0" borderId="40" xfId="0" applyFont="1" applyBorder="1" applyAlignment="1">
      <alignment horizontal="left" vertical="center" wrapText="1"/>
    </xf>
    <xf numFmtId="0" fontId="90" fillId="0" borderId="39" xfId="0" applyFont="1" applyBorder="1" applyAlignment="1">
      <alignment horizontal="left" vertical="center" wrapText="1"/>
    </xf>
    <xf numFmtId="0" fontId="90" fillId="0" borderId="30" xfId="0" applyFont="1" applyBorder="1" applyAlignment="1">
      <alignment horizontal="left" vertical="center" wrapText="1"/>
    </xf>
    <xf numFmtId="0" fontId="79" fillId="4" borderId="40" xfId="0" applyFont="1" applyFill="1" applyBorder="1" applyAlignment="1">
      <alignment horizontal="left" vertical="center" wrapText="1"/>
    </xf>
    <xf numFmtId="0" fontId="79" fillId="4" borderId="39" xfId="0" applyFont="1" applyFill="1" applyBorder="1" applyAlignment="1">
      <alignment horizontal="left" vertical="center" wrapText="1"/>
    </xf>
    <xf numFmtId="0" fontId="79" fillId="4" borderId="30" xfId="0" applyFont="1" applyFill="1" applyBorder="1" applyAlignment="1">
      <alignment horizontal="left" vertical="center" wrapText="1"/>
    </xf>
    <xf numFmtId="0" fontId="35" fillId="54" borderId="0" xfId="0" applyFont="1" applyFill="1" applyAlignment="1">
      <alignment horizontal="left" wrapText="1"/>
    </xf>
    <xf numFmtId="0" fontId="35" fillId="40" borderId="0" xfId="0" applyFont="1" applyFill="1" applyAlignment="1">
      <alignment horizontal="left" wrapText="1"/>
    </xf>
    <xf numFmtId="0" fontId="91" fillId="55" borderId="41" xfId="0" applyFont="1" applyFill="1" applyBorder="1" applyAlignment="1">
      <alignment horizontal="center" vertical="center" wrapText="1"/>
    </xf>
    <xf numFmtId="0" fontId="92" fillId="56" borderId="44" xfId="0" applyFont="1" applyFill="1" applyBorder="1" applyAlignment="1">
      <alignment vertical="center" wrapText="1"/>
    </xf>
    <xf numFmtId="0" fontId="92" fillId="57" borderId="45" xfId="0" applyFont="1" applyFill="1" applyBorder="1" applyAlignment="1">
      <alignment vertical="center" wrapText="1"/>
    </xf>
    <xf numFmtId="0" fontId="92" fillId="57" borderId="0" xfId="0" applyFont="1" applyFill="1" applyAlignment="1">
      <alignment vertical="center" wrapText="1"/>
    </xf>
    <xf numFmtId="0" fontId="92" fillId="57" borderId="42" xfId="0" applyFont="1" applyFill="1" applyBorder="1" applyAlignment="1">
      <alignment vertical="center" wrapText="1"/>
    </xf>
    <xf numFmtId="0" fontId="92" fillId="57" borderId="38" xfId="0" applyFont="1" applyFill="1" applyBorder="1" applyAlignment="1">
      <alignment vertical="center" wrapText="1"/>
    </xf>
    <xf numFmtId="0" fontId="92" fillId="57" borderId="43" xfId="0" applyFont="1" applyFill="1" applyBorder="1" applyAlignment="1">
      <alignment vertical="center" wrapText="1"/>
    </xf>
    <xf numFmtId="0" fontId="12" fillId="3" borderId="1" xfId="0" applyFont="1" applyFill="1" applyBorder="1" applyAlignment="1">
      <alignment horizontal="right" wrapText="1"/>
    </xf>
    <xf numFmtId="0" fontId="13" fillId="5" borderId="2" xfId="0" applyFont="1" applyFill="1" applyBorder="1" applyAlignment="1">
      <alignment horizontal="left" vertical="center" wrapText="1"/>
    </xf>
    <xf numFmtId="0" fontId="13" fillId="5" borderId="6" xfId="0" applyFont="1" applyFill="1" applyBorder="1" applyAlignment="1">
      <alignment horizontal="left" vertical="center" wrapText="1"/>
    </xf>
    <xf numFmtId="0" fontId="13" fillId="5" borderId="10" xfId="0" applyFont="1" applyFill="1" applyBorder="1" applyAlignment="1">
      <alignment horizontal="left" vertical="center" wrapText="1"/>
    </xf>
    <xf numFmtId="0" fontId="14" fillId="6" borderId="3" xfId="0" applyFont="1" applyFill="1" applyBorder="1" applyAlignment="1">
      <alignment horizontal="left" vertical="center" wrapText="1"/>
    </xf>
    <xf numFmtId="0" fontId="14" fillId="6" borderId="7" xfId="0" applyFont="1" applyFill="1" applyBorder="1" applyAlignment="1">
      <alignment horizontal="left" vertical="center" wrapText="1"/>
    </xf>
    <xf numFmtId="0" fontId="14" fillId="6" borderId="9" xfId="0" applyFont="1" applyFill="1" applyBorder="1" applyAlignment="1">
      <alignment horizontal="left" vertical="center" wrapText="1"/>
    </xf>
    <xf numFmtId="0" fontId="14" fillId="7" borderId="3" xfId="0" applyFont="1" applyFill="1" applyBorder="1" applyAlignment="1">
      <alignment horizontal="left" vertical="center" wrapText="1"/>
    </xf>
    <xf numFmtId="0" fontId="14" fillId="7" borderId="7" xfId="0" applyFont="1" applyFill="1" applyBorder="1" applyAlignment="1">
      <alignment horizontal="left" vertical="center" wrapText="1"/>
    </xf>
    <xf numFmtId="0" fontId="14" fillId="7" borderId="9" xfId="0" applyFont="1" applyFill="1" applyBorder="1" applyAlignment="1">
      <alignment horizontal="left" vertical="center" wrapText="1"/>
    </xf>
    <xf numFmtId="0" fontId="8" fillId="4" borderId="4" xfId="0" applyFont="1" applyFill="1" applyBorder="1" applyAlignment="1">
      <alignment horizontal="left" wrapText="1"/>
    </xf>
    <xf numFmtId="0" fontId="35" fillId="4" borderId="0" xfId="0" applyFont="1" applyFill="1" applyAlignment="1">
      <alignment horizontal="left" wrapText="1"/>
    </xf>
    <xf numFmtId="0" fontId="10" fillId="5" borderId="2" xfId="0" applyFont="1" applyFill="1" applyBorder="1" applyAlignment="1">
      <alignment horizontal="left" vertical="center" wrapText="1"/>
    </xf>
    <xf numFmtId="0" fontId="10" fillId="5" borderId="6" xfId="0" applyFont="1" applyFill="1" applyBorder="1" applyAlignment="1">
      <alignment horizontal="left" vertical="center" wrapText="1"/>
    </xf>
    <xf numFmtId="0" fontId="10" fillId="5" borderId="10" xfId="0" applyFont="1" applyFill="1" applyBorder="1" applyAlignment="1">
      <alignment horizontal="left" vertical="center" wrapText="1"/>
    </xf>
    <xf numFmtId="0" fontId="3" fillId="6" borderId="3" xfId="0" applyFont="1" applyFill="1" applyBorder="1" applyAlignment="1">
      <alignment horizontal="left" vertical="center"/>
    </xf>
    <xf numFmtId="0" fontId="3" fillId="6" borderId="7" xfId="0" applyFont="1" applyFill="1" applyBorder="1" applyAlignment="1">
      <alignment horizontal="left" vertical="center"/>
    </xf>
    <xf numFmtId="0" fontId="3" fillId="6" borderId="9" xfId="0" applyFont="1" applyFill="1" applyBorder="1" applyAlignment="1">
      <alignment horizontal="left" vertical="center"/>
    </xf>
    <xf numFmtId="0" fontId="3" fillId="7" borderId="3" xfId="0" applyFont="1" applyFill="1" applyBorder="1" applyAlignment="1">
      <alignment horizontal="left" vertical="center"/>
    </xf>
    <xf numFmtId="0" fontId="3" fillId="7" borderId="7" xfId="0" applyFont="1" applyFill="1" applyBorder="1" applyAlignment="1">
      <alignment horizontal="left" vertical="center"/>
    </xf>
    <xf numFmtId="0" fontId="3" fillId="7" borderId="9" xfId="0" applyFont="1" applyFill="1" applyBorder="1" applyAlignment="1">
      <alignment horizontal="left" vertical="center"/>
    </xf>
    <xf numFmtId="0" fontId="8" fillId="4" borderId="0" xfId="0" applyFont="1" applyFill="1" applyAlignment="1">
      <alignment horizontal="left" wrapText="1"/>
    </xf>
    <xf numFmtId="0" fontId="11" fillId="0" borderId="0" xfId="0" applyFont="1" applyAlignment="1">
      <alignment horizontal="left" wrapText="1"/>
    </xf>
    <xf numFmtId="0" fontId="31" fillId="5" borderId="0" xfId="0" applyFont="1" applyFill="1" applyAlignment="1">
      <alignment horizontal="left" vertical="center"/>
    </xf>
    <xf numFmtId="0" fontId="32" fillId="0" borderId="0" xfId="0" applyFont="1" applyAlignment="1">
      <alignment wrapText="1"/>
    </xf>
    <xf numFmtId="0" fontId="6" fillId="5" borderId="0" xfId="0" applyFont="1" applyFill="1" applyAlignment="1" applyProtection="1">
      <alignment horizontal="center" vertical="top" wrapText="1"/>
      <protection hidden="1"/>
    </xf>
    <xf numFmtId="0" fontId="76" fillId="0" borderId="0" xfId="0" applyFont="1" applyAlignment="1" applyProtection="1">
      <alignment horizontal="center" vertical="center" wrapText="1"/>
      <protection hidden="1"/>
    </xf>
  </cellXfs>
  <cellStyles count="234">
    <cellStyle name="??" xfId="186" xr:uid="{A6852FA2-0FA8-4722-A508-483B81014172}"/>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10" xfId="84" xr:uid="{0C903010-AEEC-46EA-9BA8-7C180E01E3A5}"/>
    <cellStyle name="Comma 10 2" xfId="104" xr:uid="{7C9A9470-4EA1-49EC-96D6-D09468E59377}"/>
    <cellStyle name="Comma 10 2 2" xfId="111" xr:uid="{69E5E112-6F34-408B-9A80-DA81CDEC5A4C}"/>
    <cellStyle name="Comma 10 2 2 2" xfId="207" xr:uid="{769852E3-D193-4518-BAFF-34B314058F12}"/>
    <cellStyle name="Comma 10 2 3" xfId="200" xr:uid="{8C95737A-F491-414D-8BF1-423CB83D73B8}"/>
    <cellStyle name="Comma 10 22" xfId="58" xr:uid="{55B1F6E9-B8A9-4EED-AD54-9296B5955559}"/>
    <cellStyle name="Comma 10 22 2" xfId="105" xr:uid="{F8A07A71-4A6C-4F7D-9C2B-AF7CC6A46F09}"/>
    <cellStyle name="Comma 10 22 2 2" xfId="112" xr:uid="{5C563883-5020-4CF7-B04A-074950C91552}"/>
    <cellStyle name="Comma 10 22 2 2 2" xfId="208" xr:uid="{22814DF5-2F5E-47F2-B896-C5B98E5ECB83}"/>
    <cellStyle name="Comma 10 22 2 3" xfId="201" xr:uid="{323481A4-BF60-4579-98EE-3051871E6E8A}"/>
    <cellStyle name="Comma 10 22 3" xfId="113" xr:uid="{6ECAFC20-43F0-4DC7-82AD-073D19EED50C}"/>
    <cellStyle name="Comma 10 22 3 2" xfId="209" xr:uid="{BEEED529-BDB1-4C80-8C73-B581B2DABB60}"/>
    <cellStyle name="Comma 10 22 4" xfId="196" xr:uid="{B2D4E5AB-818D-4C8F-AD66-5DE9FE8DB3C6}"/>
    <cellStyle name="Comma 10 3" xfId="114" xr:uid="{51F88B0D-2A55-4998-922C-468937668814}"/>
    <cellStyle name="Comma 10 3 2" xfId="210" xr:uid="{B5FB9319-0EFC-4596-9216-52F125084339}"/>
    <cellStyle name="Comma 10 4" xfId="198" xr:uid="{D740F105-E5D5-4CC7-BF14-10E9BCB5F1EF}"/>
    <cellStyle name="Comma 11" xfId="44" xr:uid="{6E013064-00BB-4EE4-B87F-501D973EC3A0}"/>
    <cellStyle name="Comma 12" xfId="230" xr:uid="{BC72A5D4-6FBE-41A1-8561-D8C458DA9163}"/>
    <cellStyle name="Comma 189" xfId="52" xr:uid="{177D6776-826B-4153-88AE-9A2AF1B0B088}"/>
    <cellStyle name="Comma 189 2" xfId="106" xr:uid="{B420A2A0-8A91-4619-8AB0-F002F931157B}"/>
    <cellStyle name="Comma 189 2 2" xfId="115" xr:uid="{C4126D37-1787-4727-92AB-D938B58D215D}"/>
    <cellStyle name="Comma 189 2 2 2" xfId="211" xr:uid="{BA02E62E-4DB2-4EEA-9429-51C9FD96E234}"/>
    <cellStyle name="Comma 189 2 3" xfId="202" xr:uid="{87C66B03-D102-49E2-9009-2EA56410119D}"/>
    <cellStyle name="Comma 189 3" xfId="116" xr:uid="{7C3AF480-5D96-445A-8188-615106896097}"/>
    <cellStyle name="Comma 189 3 2" xfId="212" xr:uid="{0A568F33-C781-41F8-8B65-3E841815F6DE}"/>
    <cellStyle name="Comma 189 4" xfId="195" xr:uid="{55401E6A-A769-440E-82D5-293B6CD3561C}"/>
    <cellStyle name="Comma 190" xfId="59" xr:uid="{60E6D407-B9BC-4E78-B22E-C460987E6878}"/>
    <cellStyle name="Comma 190 2" xfId="107" xr:uid="{70737925-2241-415D-9874-FAEB4F39173F}"/>
    <cellStyle name="Comma 190 2 2" xfId="117" xr:uid="{7AB50486-28C8-4E4A-A162-F8181433E751}"/>
    <cellStyle name="Comma 190 2 2 2" xfId="213" xr:uid="{537495F2-941B-4BC6-9A7B-F725F9837806}"/>
    <cellStyle name="Comma 190 2 3" xfId="203" xr:uid="{D3321BDF-943C-45FD-8556-5B63CDBD615C}"/>
    <cellStyle name="Comma 190 3" xfId="118" xr:uid="{B7D5BB4D-D176-4997-A3E8-9BB711C93A5F}"/>
    <cellStyle name="Comma 190 3 2" xfId="214" xr:uid="{A3C48C57-8490-4108-BD95-C564DF01E124}"/>
    <cellStyle name="Comma 190 4" xfId="197" xr:uid="{88602C9D-7400-44A7-BA93-C2633279F3D2}"/>
    <cellStyle name="Comma 2" xfId="47" xr:uid="{3BCD1259-F06B-43C4-B00F-ADA03A744D1F}"/>
    <cellStyle name="Comma 2 2" xfId="49" xr:uid="{C634E79D-3F46-4B92-AF2F-D4C7EE9CFB60}"/>
    <cellStyle name="Comma 2 2 2" xfId="119" xr:uid="{B71E6DA2-90D7-465A-AA0C-9DECF07C114B}"/>
    <cellStyle name="Comma 2 2 2 2" xfId="215" xr:uid="{3C472997-DFA5-4A0B-B2C3-163EFE524D59}"/>
    <cellStyle name="Comma 2 2 3" xfId="194" xr:uid="{CFA7B220-13E8-4561-8376-818B8C7815F4}"/>
    <cellStyle name="Comma 2 3" xfId="120" xr:uid="{AFC5C341-EFD4-4D1D-A3B2-1407FACD3412}"/>
    <cellStyle name="Comma 2 3 2" xfId="216" xr:uid="{9026018A-5CB0-4C4A-B497-C3184DF91A31}"/>
    <cellStyle name="Comma 2 4" xfId="130" xr:uid="{E9A58194-BD7A-458A-84F8-2D51A7C1DD0D}"/>
    <cellStyle name="Comma 2 4 2" xfId="224" xr:uid="{3B803023-9A48-4153-9B94-1ACA043C5784}"/>
    <cellStyle name="Comma 2 5" xfId="138" xr:uid="{6619C723-1376-4D9B-8781-F42C7BB18F44}"/>
    <cellStyle name="Comma 2 5 2" xfId="226" xr:uid="{AB8BA5F6-E902-48FA-B0B2-9EBFB62E4C25}"/>
    <cellStyle name="Comma 2 6" xfId="193" xr:uid="{B9A99367-71F1-47BB-B448-6E4BC51DA097}"/>
    <cellStyle name="Comma 3" xfId="94" xr:uid="{1F117D76-3C15-4673-A36D-68724D3008FD}"/>
    <cellStyle name="Comma 3 2" xfId="108" xr:uid="{92D1AF54-4B7F-47F0-A34A-83B2C9A2F795}"/>
    <cellStyle name="Comma 3 2 2" xfId="121" xr:uid="{53EFE0FC-0260-4F86-9CDA-44F3AB546A4E}"/>
    <cellStyle name="Comma 3 2 2 2" xfId="217" xr:uid="{E96EB30B-5FEC-469B-9235-CD4010D02BE0}"/>
    <cellStyle name="Comma 3 2 3" xfId="204" xr:uid="{1EF1B712-3AC4-4062-A65A-DDBF44846B15}"/>
    <cellStyle name="Comma 3 3" xfId="122" xr:uid="{374638B7-B086-4098-B9E5-240185EDBCDF}"/>
    <cellStyle name="Comma 3 3 2" xfId="218" xr:uid="{A255122F-AA3F-4151-AE40-636A9CD1ADE7}"/>
    <cellStyle name="Comma 3 4" xfId="199" xr:uid="{12574644-8944-42E9-AB1D-7BEA78AB07FD}"/>
    <cellStyle name="Comma 3 5" xfId="229" xr:uid="{593682E1-3E2E-4037-8C2D-7501716DA1A1}"/>
    <cellStyle name="Comma 3 6" xfId="231" xr:uid="{4C48FDFF-7F5E-4E25-9583-CB08940A09E9}"/>
    <cellStyle name="Comma 4" xfId="109" xr:uid="{53104EEF-0FDA-4361-ADA1-59789B21344D}"/>
    <cellStyle name="Comma 4 2" xfId="123" xr:uid="{B6AE782D-17A1-4407-B6E0-230263378686}"/>
    <cellStyle name="Comma 4 2 2" xfId="219" xr:uid="{B5C19F23-0882-4DB6-9262-19FC587B72E1}"/>
    <cellStyle name="Comma 4 3" xfId="205" xr:uid="{0C36C62F-4E9E-4F9E-8A44-7792070A9551}"/>
    <cellStyle name="Comma 5" xfId="124" xr:uid="{B9EC3BE4-3EE4-4D87-85C6-B11CC9E28460}"/>
    <cellStyle name="Comma 5 2" xfId="220" xr:uid="{ACC76640-842D-4750-984F-33B5CCBFCC28}"/>
    <cellStyle name="Comma 6" xfId="125" xr:uid="{901C894A-BC38-4D57-BC83-B9A5926B4FB0}"/>
    <cellStyle name="Comma 6 2" xfId="221" xr:uid="{9F9F8BB2-DD82-49FD-98FE-2C62D3A6D122}"/>
    <cellStyle name="Comma 7" xfId="132" xr:uid="{998F1155-A43F-425B-AC22-F465A0F8879F}"/>
    <cellStyle name="Comma 7 2" xfId="225" xr:uid="{3829BA13-FE23-47DA-8554-951A80EE1D5E}"/>
    <cellStyle name="Comma 8" xfId="139" xr:uid="{76160173-C2D0-48FE-B200-9EA34A0D8E49}"/>
    <cellStyle name="Comma 8 2" xfId="227" xr:uid="{D8B49237-317C-4225-9CE9-D140239583D3}"/>
    <cellStyle name="Comma 9" xfId="190" xr:uid="{C116204D-419F-4CB3-AB42-76F21C4EE006}"/>
    <cellStyle name="COMMENTS" xfId="140" xr:uid="{B1C6CA50-D670-4466-8180-0504727D4049}"/>
    <cellStyle name="Currency 2" xfId="110" xr:uid="{38D664AB-B717-4DE0-A82D-659BAB01FB62}"/>
    <cellStyle name="Currency 2 2" xfId="126" xr:uid="{9AAA2507-732D-4A3E-B92F-AF7B0E84C019}"/>
    <cellStyle name="Currency 2 2 2" xfId="222" xr:uid="{8EFA39D1-5FCB-4E3F-BF59-91897280D26E}"/>
    <cellStyle name="Currency 2 3" xfId="206" xr:uid="{EC58ED0A-B3A4-4BB2-BBEC-E7BE2F8D36C0}"/>
    <cellStyle name="Currency 3" xfId="127" xr:uid="{015E46FB-F824-4892-806B-50C58E808446}"/>
    <cellStyle name="Currency 3 2" xfId="223" xr:uid="{C6E721EB-B5B5-424C-BBA5-1009B2484C98}"/>
    <cellStyle name="Explanatory Text" xfId="18" builtinId="53" customBuiltin="1"/>
    <cellStyle name="Followed Hyperlink 2" xfId="103" xr:uid="{199896FE-09B6-461D-BEBD-F07A6C088619}"/>
    <cellStyle name="Good" xfId="8" builtinId="26" customBuiltin="1"/>
    <cellStyle name="GROUPHEADING" xfId="141" xr:uid="{D604A87E-5D75-47C2-B980-9CF8DA1BB1A0}"/>
    <cellStyle name="heading" xfId="142" xr:uid="{530E7159-E64E-4467-80FB-22821CAE8191}"/>
    <cellStyle name="Heading - Column" xfId="143" xr:uid="{D5E35957-AA4B-4319-8980-1403E417376D}"/>
    <cellStyle name="Heading - Other" xfId="144" xr:uid="{EB89B7CE-F8F5-4BBF-8686-8A1DD30DB85F}"/>
    <cellStyle name="Heading - Row" xfId="145" xr:uid="{8EE0931B-00D0-42E6-B9C9-D693A97DD31D}"/>
    <cellStyle name="Heading - Sheet" xfId="146" xr:uid="{9938DFA1-13CA-4A02-82E8-B94EE37181DA}"/>
    <cellStyle name="Heading 1" xfId="4" builtinId="16" customBuiltin="1"/>
    <cellStyle name="Heading 2" xfId="5" builtinId="17" customBuiltin="1"/>
    <cellStyle name="Heading 3" xfId="6" builtinId="18" customBuiltin="1"/>
    <cellStyle name="Heading 4" xfId="7" builtinId="19" customBuiltin="1"/>
    <cellStyle name="Hyperlink" xfId="1" builtinId="8"/>
    <cellStyle name="Hyperlink 2" xfId="83" xr:uid="{89B6AAF1-F727-4D00-A186-0A385793C28E}"/>
    <cellStyle name="Hyperlink 2 2" xfId="147" xr:uid="{8BFBB996-422D-4E50-9134-687129445450}"/>
    <cellStyle name="Hyperlink 3" xfId="102" xr:uid="{CCE891AF-F538-42DB-87A8-1740EB903A98}"/>
    <cellStyle name="Hyperlink 3 2" xfId="148" xr:uid="{280B8DAF-698C-48C8-9622-B60E22E05C3A}"/>
    <cellStyle name="Hyperlink 4" xfId="133" xr:uid="{EC761522-94B7-4AE6-8425-59211D0A19DC}"/>
    <cellStyle name="Hyperlink 5" xfId="189" xr:uid="{35FB67BD-2116-42DA-A13E-FA4DDF83D695}"/>
    <cellStyle name="Input" xfId="11" builtinId="20" customBuiltin="1"/>
    <cellStyle name="item" xfId="149" xr:uid="{9343E026-B204-4F12-9D85-044A1AE37349}"/>
    <cellStyle name="Linked Cell" xfId="14" builtinId="24" customBuiltin="1"/>
    <cellStyle name="MAIN HEADING" xfId="150" xr:uid="{5081E295-053C-4C55-9747-8918337F2314}"/>
    <cellStyle name="Microsoft Excel found an error in the formula you entered. Do you want to accept the correction proposed below?_x000a__x000a_|_x000a__x000a_• To accept the correction, click Yes._x000a_• To close this message and correct the formula yourself, click No." xfId="51" xr:uid="{06E9D656-87C0-402A-A80E-059AF38E235B}"/>
    <cellStyle name="Microsoft Excel found an error in the formula you entered. Do you want to accept the correction proposed below?_x000a__x000a_|_x000a__x000a_• To accept the correction, click Yes._x000a_• To close this message and correct the formula yourself, click No. 2" xfId="88" xr:uid="{FB4A9254-E361-40B2-A7E0-7FFC7139D863}"/>
    <cellStyle name="Microsoft Excel found an error in the formula you entered. Do you want to accept the correction proposed below?_x000a__x000a_|_x000a__x000a_• To accept the correction, click Yes._x000a_• To close this message and correct the formula yourself, click No. 24" xfId="53" xr:uid="{776A74D5-5B26-473C-9F73-19B62BF9C34B}"/>
    <cellStyle name="Microsoft Excel found an error in the formula you entered. Do you want to accept the correction proposed below?_x000a__x000a_|_x000a__x000a_• To accept the correction, click Yes._x000a_• To close this message and correct the formula yourself, click No. 3" xfId="92" xr:uid="{81D9E4E5-A5C3-495E-BA81-ADD6AB5717A7}"/>
    <cellStyle name="Microsoft Excel found an error in the formula you entered. Do you want to accept the correction proposed below?_x000a__x000a_|_x000a__x000a_• To accept the correction, click Yes._x000a_• To close this message and correct the formula yourself, click No. 44" xfId="93" xr:uid="{194CC54E-F669-41ED-9622-0DDE14D4D767}"/>
    <cellStyle name="Microsoft Excel found an error in the formula you entered. Do you want to accept the correction proposed below?_x000a__x000a_|_x000a__x000a_• To accept the correction, click Yes._x000a_• To close this message and correct the formula yourself, click No. 9" xfId="129" xr:uid="{E62EFFFB-FB90-4CCB-A5A9-0A955962C332}"/>
    <cellStyle name="Neutral" xfId="10" builtinId="28" customBuiltin="1"/>
    <cellStyle name="Normal" xfId="0" builtinId="0"/>
    <cellStyle name="Normal 10" xfId="57" xr:uid="{6E31F82E-8BDC-4397-A9F4-C5459BBCA715}"/>
    <cellStyle name="Normal 107" xfId="56" xr:uid="{DE646771-3127-4C9E-B2BA-D365F997D12B}"/>
    <cellStyle name="Normal 108" xfId="87" xr:uid="{B3BD0534-7523-4681-939D-5BA0E3FD9929}"/>
    <cellStyle name="Normal 109" xfId="85" xr:uid="{4DEB3C49-7FA3-4D1D-8067-F375DC2160D8}"/>
    <cellStyle name="Normal 11" xfId="187" xr:uid="{AF89F3C1-BB15-44AF-B0DA-4CF6C2C8A82B}"/>
    <cellStyle name="Normal 11 10" xfId="99" xr:uid="{D1C2AB77-6241-468C-AB70-D3BF80B19BC0}"/>
    <cellStyle name="Normal 11 2" xfId="228" xr:uid="{E1DB1CC3-5B86-403A-86F8-47997E1E63EE}"/>
    <cellStyle name="Normal 11 4" xfId="151" xr:uid="{260691AA-AB8C-4867-9CDD-DEA5B9563986}"/>
    <cellStyle name="Normal 113" xfId="54" xr:uid="{0F1F1D13-CD18-4D7F-A8D0-6401EB8E1D4B}"/>
    <cellStyle name="Normal 12" xfId="188" xr:uid="{6C54E142-0FCF-4E9C-82D5-86A9CBFFD0AD}"/>
    <cellStyle name="Normal 16" xfId="100" xr:uid="{4723484D-50CC-42EF-BA54-D00DEE4AE292}"/>
    <cellStyle name="Normal 2" xfId="46" xr:uid="{69FB7ADF-7A93-4A0E-91FF-6EEBF2D90BCF}"/>
    <cellStyle name="Normal 2 2" xfId="2" xr:uid="{0905AAB9-8EAF-4C4E-B82B-3BED493E0130}"/>
    <cellStyle name="Normal 2 2 2" xfId="131" xr:uid="{C4D20F16-46E4-47F7-841C-FCA17072B041}"/>
    <cellStyle name="Normal 2 2 2 2" xfId="152" xr:uid="{033DB15C-25D8-4DF4-AE62-512492E833D3}"/>
    <cellStyle name="Normal 2 2 3" xfId="153" xr:uid="{84C2175E-55C2-4B38-92FB-CC0AD9FF75F3}"/>
    <cellStyle name="Normal 2 3" xfId="128" xr:uid="{78DD0EB2-83B8-4FE4-B4B4-C6E6A9BC43DB}"/>
    <cellStyle name="Normal 2 34" xfId="45" xr:uid="{259BDE54-690B-40D5-B6B7-307547136EFF}"/>
    <cellStyle name="Normal 2 4" xfId="137" xr:uid="{0FA5C676-7777-4637-A4F3-F67B361534A4}"/>
    <cellStyle name="Normal 2 4 2" xfId="154" xr:uid="{881D63A7-4B60-4A42-8DA3-E5D1947645AB}"/>
    <cellStyle name="Normal 2 5" xfId="90" xr:uid="{7019BC00-3C6E-49C3-BF14-C7E2B50F9C61}"/>
    <cellStyle name="Normal 25" xfId="155" xr:uid="{01BE78F0-81EC-4808-A3B2-18834CF7F7DA}"/>
    <cellStyle name="Normal 27 2" xfId="156" xr:uid="{515F3C4F-5EE8-4D79-9F72-BB8E38CE9669}"/>
    <cellStyle name="Normal 27 2 2" xfId="157" xr:uid="{DB43CA80-2402-42E4-8904-80ECE2C812CC}"/>
    <cellStyle name="Normal 27 3" xfId="158" xr:uid="{79A4D74F-2920-4E58-A8E6-EDCA3454F3BD}"/>
    <cellStyle name="Normal 3" xfId="48" xr:uid="{CF918EDE-CA29-4CB6-8B47-EE3FF9781E0D}"/>
    <cellStyle name="Normal 3 2" xfId="135" xr:uid="{EC5E34B6-AFAA-4C8F-BDBE-A41053AFA1C6}"/>
    <cellStyle name="Normal 3 2 2" xfId="159" xr:uid="{4EF97147-4643-4D1B-A4F1-E8287A12FD54}"/>
    <cellStyle name="Normal 3 3" xfId="134" xr:uid="{96CA7FB4-BFBF-45DC-9DEC-E30A64D78EF0}"/>
    <cellStyle name="Normal 3 4" xfId="91" xr:uid="{EE9564D8-96A0-4E9C-AEEB-6E0B1A78BD91}"/>
    <cellStyle name="Normal 3 5" xfId="160" xr:uid="{8680257A-3E38-4FEB-947F-C3B13CA978AD}"/>
    <cellStyle name="Normal 4" xfId="50" xr:uid="{B637003F-4EEF-4F2F-B828-883549764A9B}"/>
    <cellStyle name="Normal 4 2" xfId="136" xr:uid="{D6479FE8-B2F1-44F7-B3A6-93D2B6BE917A}"/>
    <cellStyle name="Normal 4 2 2" xfId="161" xr:uid="{BEEB00DC-A838-4D25-881F-580776D07FB4}"/>
    <cellStyle name="Normal 4 3" xfId="162" xr:uid="{D53212F0-3FA0-44F7-BCF8-6897057E6E6D}"/>
    <cellStyle name="Normal 4 4" xfId="163" xr:uid="{47C378C1-3173-4CC8-A5DA-F72FB14384B9}"/>
    <cellStyle name="Normal 4 5" xfId="164" xr:uid="{77132B01-97B3-4E1D-A202-FFE30705567E}"/>
    <cellStyle name="Normal 4 6" xfId="232" xr:uid="{2A2B8247-5EC9-4AE3-A4D3-ACCBC9859255}"/>
    <cellStyle name="Normal 4 7" xfId="233" xr:uid="{39C949D9-EB14-4CD9-AC49-E608936FE132}"/>
    <cellStyle name="Normal 5" xfId="98" xr:uid="{72313D3E-B7D3-4E2B-833A-E1AA2EF4FEE9}"/>
    <cellStyle name="Normal 5 2" xfId="165" xr:uid="{070E1A62-931F-4B27-996A-804CAC813BCA}"/>
    <cellStyle name="Normal 5 2 2" xfId="166" xr:uid="{05626FCE-EBC1-4973-B3DE-292FFD34372D}"/>
    <cellStyle name="Normal 5 3" xfId="167" xr:uid="{39326837-269E-4D4C-BB64-83546873AD45}"/>
    <cellStyle name="Normal 5 4" xfId="168" xr:uid="{E7F371C0-F07A-4085-A937-ACCC03489D8D}"/>
    <cellStyle name="Normal 6" xfId="169" xr:uid="{BD210DF7-D3DB-452B-89B1-391F4984D9E3}"/>
    <cellStyle name="Normal 6 2" xfId="170" xr:uid="{3A91AC37-A3A3-4C04-9BD2-5110ADE970AC}"/>
    <cellStyle name="Normal 6 2 2" xfId="171" xr:uid="{4746C2A0-C313-4AE0-AB3C-7BB71E571BF0}"/>
    <cellStyle name="Normal 6 3" xfId="172" xr:uid="{21281396-511A-4D11-AB1B-1B505CB38191}"/>
    <cellStyle name="Normal 7" xfId="173" xr:uid="{C8DDB792-5CF0-4CD4-A96E-3F1423B6BD3F}"/>
    <cellStyle name="Normal 7 2" xfId="174" xr:uid="{03587A6F-9787-465E-BF7E-F5614294B5AC}"/>
    <cellStyle name="Normal 8" xfId="175" xr:uid="{4DA31397-23BB-4C82-8729-B3796996A4E1}"/>
    <cellStyle name="Normal 8 2" xfId="176" xr:uid="{FB277796-4211-4F29-9957-952814344787}"/>
    <cellStyle name="Normal 9" xfId="177" xr:uid="{AC1BC77D-16B8-4A25-9F31-CCEF824B6AA2}"/>
    <cellStyle name="Note" xfId="17" builtinId="10" customBuiltin="1"/>
    <cellStyle name="note 2" xfId="178" xr:uid="{FA089B44-FDBD-4AEB-A617-32AA70BC0C54}"/>
    <cellStyle name="Note 3" xfId="191" xr:uid="{453D19C9-C114-4AFB-A716-790B4E73EB62}"/>
    <cellStyle name="Output" xfId="12" builtinId="21" customBuiltin="1"/>
    <cellStyle name="Percent 10" xfId="86" xr:uid="{310C5D7B-5478-4341-A64B-60D34AD1DD9D}"/>
    <cellStyle name="Percent 2" xfId="192" xr:uid="{9C18C652-AD98-4DCD-A1FA-F577DC0A5AA9}"/>
    <cellStyle name="result" xfId="179" xr:uid="{0DB29F12-5154-4A62-B6A0-D0B991B305A0}"/>
    <cellStyle name="SAPBorder" xfId="78" xr:uid="{9CC1A869-E915-44C1-A9FE-2791987B10C4}"/>
    <cellStyle name="SAPDataCell" xfId="55" xr:uid="{D7726056-0411-49A4-975A-3F31F95F19C0}"/>
    <cellStyle name="SAPDataRemoved" xfId="95" xr:uid="{5E51A775-5829-4D02-AC69-3D59E4179F51}"/>
    <cellStyle name="SAPDataTotalCell" xfId="61" xr:uid="{AB75039C-1736-4B87-84A0-B65313B4D26F}"/>
    <cellStyle name="SAPDimensionCell" xfId="60" xr:uid="{C89AE89A-4326-419D-BAA9-3CC287237648}"/>
    <cellStyle name="SAPEditableDataCell" xfId="63" xr:uid="{4EC0020C-42BC-431C-BBD0-26D2DDF492A6}"/>
    <cellStyle name="SAPEditableDataTotalCell" xfId="66" xr:uid="{CCE67D13-5FE7-4B1A-BCBC-128C9455C2EE}"/>
    <cellStyle name="SAPEmphasized" xfId="62" xr:uid="{2A40A7BD-776B-486E-8695-D1C89E01527E}"/>
    <cellStyle name="SAPError" xfId="96" xr:uid="{ECF2CC28-754C-40E0-BCAE-269AC2E45401}"/>
    <cellStyle name="SAPExceptionLevel1" xfId="69" xr:uid="{DC01A618-FF2E-4945-A710-5E595AC9624D}"/>
    <cellStyle name="SAPExceptionLevel2" xfId="70" xr:uid="{642329C5-BA2F-441D-AA42-7E0EDF15F984}"/>
    <cellStyle name="SAPExceptionLevel3" xfId="71" xr:uid="{AC076E0C-E834-4C77-A2C4-1480965DD558}"/>
    <cellStyle name="SAPExceptionLevel4" xfId="72" xr:uid="{39B0010C-4859-4801-B103-BF0025D2473B}"/>
    <cellStyle name="SAPExceptionLevel5" xfId="73" xr:uid="{29638927-F534-4D73-A45A-48CFADB27599}"/>
    <cellStyle name="SAPExceptionLevel6" xfId="74" xr:uid="{B6D5B4C5-2825-407C-902C-9DE5974320C2}"/>
    <cellStyle name="SAPExceptionLevel7" xfId="75" xr:uid="{86335405-9225-4BE0-A644-A46F73A53F9E}"/>
    <cellStyle name="SAPExceptionLevel8" xfId="76" xr:uid="{2EED54B4-8DBF-4304-8E6A-15D2DEF7538B}"/>
    <cellStyle name="SAPExceptionLevel9" xfId="77" xr:uid="{A10B9F62-6A0E-457D-9CC6-9F0D50A98493}"/>
    <cellStyle name="SAPGroupingFillCell" xfId="89" xr:uid="{CCF87A10-40ED-43EA-AC40-0A4CC5582DAB}"/>
    <cellStyle name="SAPHierarchyCell" xfId="81" xr:uid="{EB95F0DB-E961-46A9-B15F-DB99CEBA1419}"/>
    <cellStyle name="SAPHierarchyOddCell" xfId="82" xr:uid="{EB1C27AA-49E2-4C21-B9BF-09968BEE99D9}"/>
    <cellStyle name="SAPLockedDataCell" xfId="65" xr:uid="{E0E01F62-FE8E-4BF7-8AB2-DF6E3C28D968}"/>
    <cellStyle name="SAPLockedDataTotalCell" xfId="68" xr:uid="{33400B25-9774-4504-979E-CABFDEEE6BF2}"/>
    <cellStyle name="SAPMemberCell" xfId="79" xr:uid="{E179ADB8-BB59-4F8F-A10F-90A751393CBA}"/>
    <cellStyle name="SAPMemberTotalCell" xfId="80" xr:uid="{DA1953BF-209F-4E49-AC9E-E9CF5753C338}"/>
    <cellStyle name="SAPMessageText" xfId="97" xr:uid="{AB310761-F828-460C-B8E8-C091595D54BB}"/>
    <cellStyle name="SAPReadonlyDataCell" xfId="64" xr:uid="{F75A3C80-FA25-48D9-9780-02A244D882EF}"/>
    <cellStyle name="SAPReadonlyDataTotalCell" xfId="67" xr:uid="{F29D4EF1-24C6-49A7-8BAE-301A2C35DBAD}"/>
    <cellStyle name="section" xfId="180" xr:uid="{EB7A3B75-CF42-48F7-A13F-A69D732487FF}"/>
    <cellStyle name="Style2 10" xfId="101" xr:uid="{47650470-5CDE-4316-9E2F-DB036FBBD29B}"/>
    <cellStyle name="Table Footnotes" xfId="181" xr:uid="{39246959-668C-42D1-92EC-8BB05E5C3A9B}"/>
    <cellStyle name="Table Heading" xfId="182" xr:uid="{2E8022AA-2BA7-4ACF-8CDD-DE28A84EF1E7}"/>
    <cellStyle name="Table Main Heading" xfId="183" xr:uid="{7C4234B7-EDE7-402E-8ABE-972AE73906B9}"/>
    <cellStyle name="Title" xfId="3" builtinId="15" customBuiltin="1"/>
    <cellStyle name="Total" xfId="19" builtinId="25" customBuiltin="1"/>
    <cellStyle name="total 2" xfId="184" xr:uid="{987E62F6-98A1-40B4-B5A3-ED6ECA98D471}"/>
    <cellStyle name="UNDERLINE" xfId="185" xr:uid="{BBC4E745-AF34-4D48-89B3-A42794763CD0}"/>
    <cellStyle name="Warning Text" xfId="16" builtinId="11" customBuiltin="1"/>
  </cellStyles>
  <dxfs count="0"/>
  <tableStyles count="0" defaultTableStyle="TableStyleMedium2" defaultPivotStyle="PivotStyleMedium9"/>
  <colors>
    <mruColors>
      <color rgb="FFD3D0A7"/>
      <color rgb="FFEAE8D2"/>
      <color rgb="FF9D5BA2"/>
      <color rgb="FF754479"/>
      <color rgb="FFD8BCDA"/>
      <color rgb="FFBFBA7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Aptos" panose="020B0004020202020204" pitchFamily="34" charset="0"/>
                <a:ea typeface="+mn-ea"/>
                <a:cs typeface="+mn-cs"/>
              </a:defRPr>
            </a:pPr>
            <a:r>
              <a:rPr lang="en-US" sz="1100" b="0" i="1">
                <a:latin typeface="Aptos" panose="020B0004020202020204" pitchFamily="34" charset="0"/>
              </a:rPr>
              <a:t>(refer</a:t>
            </a:r>
            <a:r>
              <a:rPr lang="en-US" sz="1100" b="0" i="1" baseline="0">
                <a:latin typeface="Aptos" panose="020B0004020202020204" pitchFamily="34" charset="0"/>
              </a:rPr>
              <a:t> to legend at bottom of chart for details of the Lower, Baseline and Higher scenarios) </a:t>
            </a:r>
            <a:endParaRPr lang="en-US" sz="1100" b="0" i="1">
              <a:latin typeface="Aptos" panose="020B0004020202020204" pitchFamily="34" charset="0"/>
            </a:endParaRPr>
          </a:p>
        </c:rich>
      </c:tx>
      <c:layout>
        <c:manualLayout>
          <c:xMode val="edge"/>
          <c:yMode val="edge"/>
          <c:x val="0.29425469949695526"/>
          <c:y val="1.7421602787456445E-2"/>
        </c:manualLayout>
      </c:layout>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Aptos" panose="020B0004020202020204" pitchFamily="34" charset="0"/>
              <a:ea typeface="+mn-ea"/>
              <a:cs typeface="+mn-cs"/>
            </a:defRPr>
          </a:pPr>
          <a:endParaRPr lang="en-US"/>
        </a:p>
      </c:txPr>
    </c:title>
    <c:autoTitleDeleted val="0"/>
    <c:plotArea>
      <c:layout/>
      <c:lineChart>
        <c:grouping val="standard"/>
        <c:varyColors val="0"/>
        <c:ser>
          <c:idx val="0"/>
          <c:order val="0"/>
          <c:tx>
            <c:strRef>
              <c:f>'Interactive charts'!$K$4</c:f>
              <c:strCache>
                <c:ptCount val="1"/>
                <c:pt idx="0">
                  <c:v>Lower — Long-run NOM, 185,000; Long-run fertility rate 1.24</c:v>
                </c:pt>
              </c:strCache>
            </c:strRef>
          </c:tx>
          <c:spPr>
            <a:ln w="28575" cap="rnd">
              <a:solidFill>
                <a:srgbClr val="D8BCDA"/>
              </a:solidFill>
              <a:prstDash val="dash"/>
              <a:round/>
            </a:ln>
            <a:effectLst/>
          </c:spPr>
          <c:marker>
            <c:symbol val="none"/>
          </c:marker>
          <c:cat>
            <c:strRef>
              <c:f>'Interactive charts'!$J$8:$J$48</c:f>
              <c:strCache>
                <c:ptCount val="41"/>
                <c:pt idx="0">
                  <c:v>2025-26</c:v>
                </c:pt>
                <c:pt idx="1">
                  <c:v>2026-27</c:v>
                </c:pt>
                <c:pt idx="2">
                  <c:v>2027-28</c:v>
                </c:pt>
                <c:pt idx="3">
                  <c:v>2028-29</c:v>
                </c:pt>
                <c:pt idx="4">
                  <c:v>2029-30</c:v>
                </c:pt>
                <c:pt idx="5">
                  <c:v>2030-31</c:v>
                </c:pt>
                <c:pt idx="6">
                  <c:v>2031-32</c:v>
                </c:pt>
                <c:pt idx="7">
                  <c:v>2032-33</c:v>
                </c:pt>
                <c:pt idx="8">
                  <c:v>2033-34</c:v>
                </c:pt>
                <c:pt idx="9">
                  <c:v>2034-35</c:v>
                </c:pt>
                <c:pt idx="10">
                  <c:v>2035-36</c:v>
                </c:pt>
                <c:pt idx="11">
                  <c:v>2036-37</c:v>
                </c:pt>
                <c:pt idx="12">
                  <c:v>2037-38</c:v>
                </c:pt>
                <c:pt idx="13">
                  <c:v>2038-39</c:v>
                </c:pt>
                <c:pt idx="14">
                  <c:v>2039-40</c:v>
                </c:pt>
                <c:pt idx="15">
                  <c:v>2040-41</c:v>
                </c:pt>
                <c:pt idx="16">
                  <c:v>2041-42</c:v>
                </c:pt>
                <c:pt idx="17">
                  <c:v>2042-43</c:v>
                </c:pt>
                <c:pt idx="18">
                  <c:v>2043-44</c:v>
                </c:pt>
                <c:pt idx="19">
                  <c:v>2044-45</c:v>
                </c:pt>
                <c:pt idx="20">
                  <c:v>2045-46</c:v>
                </c:pt>
                <c:pt idx="21">
                  <c:v>2046-47</c:v>
                </c:pt>
                <c:pt idx="22">
                  <c:v>2047-48</c:v>
                </c:pt>
                <c:pt idx="23">
                  <c:v>2048-49</c:v>
                </c:pt>
                <c:pt idx="24">
                  <c:v>2049-50</c:v>
                </c:pt>
                <c:pt idx="25">
                  <c:v>2050-51</c:v>
                </c:pt>
                <c:pt idx="26">
                  <c:v>2051-52</c:v>
                </c:pt>
                <c:pt idx="27">
                  <c:v>2052-53</c:v>
                </c:pt>
                <c:pt idx="28">
                  <c:v>2053-54</c:v>
                </c:pt>
                <c:pt idx="29">
                  <c:v>2054-55</c:v>
                </c:pt>
                <c:pt idx="30">
                  <c:v>2055-56</c:v>
                </c:pt>
                <c:pt idx="31">
                  <c:v>2056-57</c:v>
                </c:pt>
                <c:pt idx="32">
                  <c:v>2057-58</c:v>
                </c:pt>
                <c:pt idx="33">
                  <c:v>2058-59</c:v>
                </c:pt>
                <c:pt idx="34">
                  <c:v>2059-60</c:v>
                </c:pt>
                <c:pt idx="35">
                  <c:v>2060-61</c:v>
                </c:pt>
                <c:pt idx="36">
                  <c:v>2061-62</c:v>
                </c:pt>
                <c:pt idx="37">
                  <c:v>2062-63</c:v>
                </c:pt>
                <c:pt idx="38">
                  <c:v>2063-64</c:v>
                </c:pt>
                <c:pt idx="39">
                  <c:v>2064-65</c:v>
                </c:pt>
                <c:pt idx="40">
                  <c:v>2065-66</c:v>
                </c:pt>
              </c:strCache>
            </c:strRef>
          </c:cat>
          <c:val>
            <c:numRef>
              <c:f>'Interactive charts'!$K$8:$K$48</c:f>
              <c:numCache>
                <c:formatCode>0.0</c:formatCode>
                <c:ptCount val="41"/>
                <c:pt idx="0">
                  <c:v>-1</c:v>
                </c:pt>
                <c:pt idx="1">
                  <c:v>-1</c:v>
                </c:pt>
                <c:pt idx="2">
                  <c:v>-1</c:v>
                </c:pt>
                <c:pt idx="3">
                  <c:v>-1</c:v>
                </c:pt>
                <c:pt idx="4">
                  <c:v>-0.7</c:v>
                </c:pt>
                <c:pt idx="5">
                  <c:v>-0.8</c:v>
                </c:pt>
                <c:pt idx="6">
                  <c:v>-0.5</c:v>
                </c:pt>
                <c:pt idx="7">
                  <c:v>-0.6</c:v>
                </c:pt>
                <c:pt idx="8">
                  <c:v>-0.6</c:v>
                </c:pt>
                <c:pt idx="9">
                  <c:v>-0.6</c:v>
                </c:pt>
                <c:pt idx="10">
                  <c:v>-0.4</c:v>
                </c:pt>
                <c:pt idx="11">
                  <c:v>-0.3</c:v>
                </c:pt>
                <c:pt idx="12">
                  <c:v>-0.4</c:v>
                </c:pt>
                <c:pt idx="13">
                  <c:v>-0.4</c:v>
                </c:pt>
                <c:pt idx="14">
                  <c:v>-0.4</c:v>
                </c:pt>
                <c:pt idx="15">
                  <c:v>-0.6</c:v>
                </c:pt>
                <c:pt idx="16">
                  <c:v>-0.4</c:v>
                </c:pt>
                <c:pt idx="17">
                  <c:v>-0.4</c:v>
                </c:pt>
                <c:pt idx="18">
                  <c:v>-0.4</c:v>
                </c:pt>
                <c:pt idx="19">
                  <c:v>-0.4</c:v>
                </c:pt>
                <c:pt idx="20">
                  <c:v>-0.5</c:v>
                </c:pt>
                <c:pt idx="21">
                  <c:v>-0.7</c:v>
                </c:pt>
                <c:pt idx="22">
                  <c:v>-0.6</c:v>
                </c:pt>
                <c:pt idx="23">
                  <c:v>-0.6</c:v>
                </c:pt>
                <c:pt idx="24">
                  <c:v>-0.7</c:v>
                </c:pt>
                <c:pt idx="25">
                  <c:v>-0.8</c:v>
                </c:pt>
                <c:pt idx="26">
                  <c:v>-0.7</c:v>
                </c:pt>
                <c:pt idx="27">
                  <c:v>-0.8</c:v>
                </c:pt>
                <c:pt idx="28">
                  <c:v>-0.9</c:v>
                </c:pt>
                <c:pt idx="29">
                  <c:v>-1</c:v>
                </c:pt>
                <c:pt idx="30">
                  <c:v>-1</c:v>
                </c:pt>
                <c:pt idx="31">
                  <c:v>-1.1000000000000001</c:v>
                </c:pt>
                <c:pt idx="32">
                  <c:v>-1.2</c:v>
                </c:pt>
                <c:pt idx="33">
                  <c:v>-1.3</c:v>
                </c:pt>
                <c:pt idx="34">
                  <c:v>-1.4</c:v>
                </c:pt>
                <c:pt idx="35">
                  <c:v>-1.6</c:v>
                </c:pt>
                <c:pt idx="36">
                  <c:v>-1.7</c:v>
                </c:pt>
                <c:pt idx="37">
                  <c:v>-1.8</c:v>
                </c:pt>
                <c:pt idx="38">
                  <c:v>-2</c:v>
                </c:pt>
                <c:pt idx="39">
                  <c:v>-2.2000000000000002</c:v>
                </c:pt>
                <c:pt idx="40">
                  <c:v>-2.4</c:v>
                </c:pt>
              </c:numCache>
            </c:numRef>
          </c:val>
          <c:smooth val="0"/>
          <c:extLst>
            <c:ext xmlns:c16="http://schemas.microsoft.com/office/drawing/2014/chart" uri="{C3380CC4-5D6E-409C-BE32-E72D297353CC}">
              <c16:uniqueId val="{00000000-A3AD-4943-A45A-97FB4CE24B88}"/>
            </c:ext>
          </c:extLst>
        </c:ser>
        <c:ser>
          <c:idx val="1"/>
          <c:order val="1"/>
          <c:tx>
            <c:strRef>
              <c:f>'Interactive charts'!$L$4</c:f>
              <c:strCache>
                <c:ptCount val="1"/>
                <c:pt idx="0">
                  <c:v>Baseline — Long-run NOM, 235,000; Long-run fertility rate 1.34</c:v>
                </c:pt>
              </c:strCache>
            </c:strRef>
          </c:tx>
          <c:spPr>
            <a:ln w="28575" cap="rnd">
              <a:solidFill>
                <a:srgbClr val="9D5BA2"/>
              </a:solidFill>
              <a:prstDash val="solid"/>
              <a:round/>
            </a:ln>
            <a:effectLst/>
          </c:spPr>
          <c:marker>
            <c:symbol val="none"/>
          </c:marker>
          <c:cat>
            <c:strRef>
              <c:f>'Interactive charts'!$J$8:$J$48</c:f>
              <c:strCache>
                <c:ptCount val="41"/>
                <c:pt idx="0">
                  <c:v>2025-26</c:v>
                </c:pt>
                <c:pt idx="1">
                  <c:v>2026-27</c:v>
                </c:pt>
                <c:pt idx="2">
                  <c:v>2027-28</c:v>
                </c:pt>
                <c:pt idx="3">
                  <c:v>2028-29</c:v>
                </c:pt>
                <c:pt idx="4">
                  <c:v>2029-30</c:v>
                </c:pt>
                <c:pt idx="5">
                  <c:v>2030-31</c:v>
                </c:pt>
                <c:pt idx="6">
                  <c:v>2031-32</c:v>
                </c:pt>
                <c:pt idx="7">
                  <c:v>2032-33</c:v>
                </c:pt>
                <c:pt idx="8">
                  <c:v>2033-34</c:v>
                </c:pt>
                <c:pt idx="9">
                  <c:v>2034-35</c:v>
                </c:pt>
                <c:pt idx="10">
                  <c:v>2035-36</c:v>
                </c:pt>
                <c:pt idx="11">
                  <c:v>2036-37</c:v>
                </c:pt>
                <c:pt idx="12">
                  <c:v>2037-38</c:v>
                </c:pt>
                <c:pt idx="13">
                  <c:v>2038-39</c:v>
                </c:pt>
                <c:pt idx="14">
                  <c:v>2039-40</c:v>
                </c:pt>
                <c:pt idx="15">
                  <c:v>2040-41</c:v>
                </c:pt>
                <c:pt idx="16">
                  <c:v>2041-42</c:v>
                </c:pt>
                <c:pt idx="17">
                  <c:v>2042-43</c:v>
                </c:pt>
                <c:pt idx="18">
                  <c:v>2043-44</c:v>
                </c:pt>
                <c:pt idx="19">
                  <c:v>2044-45</c:v>
                </c:pt>
                <c:pt idx="20">
                  <c:v>2045-46</c:v>
                </c:pt>
                <c:pt idx="21">
                  <c:v>2046-47</c:v>
                </c:pt>
                <c:pt idx="22">
                  <c:v>2047-48</c:v>
                </c:pt>
                <c:pt idx="23">
                  <c:v>2048-49</c:v>
                </c:pt>
                <c:pt idx="24">
                  <c:v>2049-50</c:v>
                </c:pt>
                <c:pt idx="25">
                  <c:v>2050-51</c:v>
                </c:pt>
                <c:pt idx="26">
                  <c:v>2051-52</c:v>
                </c:pt>
                <c:pt idx="27">
                  <c:v>2052-53</c:v>
                </c:pt>
                <c:pt idx="28">
                  <c:v>2053-54</c:v>
                </c:pt>
                <c:pt idx="29">
                  <c:v>2054-55</c:v>
                </c:pt>
                <c:pt idx="30">
                  <c:v>2055-56</c:v>
                </c:pt>
                <c:pt idx="31">
                  <c:v>2056-57</c:v>
                </c:pt>
                <c:pt idx="32">
                  <c:v>2057-58</c:v>
                </c:pt>
                <c:pt idx="33">
                  <c:v>2058-59</c:v>
                </c:pt>
                <c:pt idx="34">
                  <c:v>2059-60</c:v>
                </c:pt>
                <c:pt idx="35">
                  <c:v>2060-61</c:v>
                </c:pt>
                <c:pt idx="36">
                  <c:v>2061-62</c:v>
                </c:pt>
                <c:pt idx="37">
                  <c:v>2062-63</c:v>
                </c:pt>
                <c:pt idx="38">
                  <c:v>2063-64</c:v>
                </c:pt>
                <c:pt idx="39">
                  <c:v>2064-65</c:v>
                </c:pt>
                <c:pt idx="40">
                  <c:v>2065-66</c:v>
                </c:pt>
              </c:strCache>
            </c:strRef>
          </c:cat>
          <c:val>
            <c:numRef>
              <c:f>'Interactive charts'!$L$8:$L$48</c:f>
              <c:numCache>
                <c:formatCode>0.0</c:formatCode>
                <c:ptCount val="41"/>
                <c:pt idx="0">
                  <c:v>-1</c:v>
                </c:pt>
                <c:pt idx="1">
                  <c:v>-1</c:v>
                </c:pt>
                <c:pt idx="2">
                  <c:v>-1</c:v>
                </c:pt>
                <c:pt idx="3">
                  <c:v>-1</c:v>
                </c:pt>
                <c:pt idx="4">
                  <c:v>-0.7</c:v>
                </c:pt>
                <c:pt idx="5">
                  <c:v>-0.8</c:v>
                </c:pt>
                <c:pt idx="6">
                  <c:v>-0.5</c:v>
                </c:pt>
                <c:pt idx="7">
                  <c:v>-0.6</c:v>
                </c:pt>
                <c:pt idx="8">
                  <c:v>-0.6</c:v>
                </c:pt>
                <c:pt idx="9">
                  <c:v>-0.6</c:v>
                </c:pt>
                <c:pt idx="10">
                  <c:v>-0.4</c:v>
                </c:pt>
                <c:pt idx="11">
                  <c:v>-0.3</c:v>
                </c:pt>
                <c:pt idx="12">
                  <c:v>-0.4</c:v>
                </c:pt>
                <c:pt idx="13">
                  <c:v>-0.4</c:v>
                </c:pt>
                <c:pt idx="14">
                  <c:v>-0.4</c:v>
                </c:pt>
                <c:pt idx="15">
                  <c:v>-0.6</c:v>
                </c:pt>
                <c:pt idx="16">
                  <c:v>-0.4</c:v>
                </c:pt>
                <c:pt idx="17">
                  <c:v>-0.4</c:v>
                </c:pt>
                <c:pt idx="18">
                  <c:v>-0.4</c:v>
                </c:pt>
                <c:pt idx="19">
                  <c:v>-0.4</c:v>
                </c:pt>
                <c:pt idx="20">
                  <c:v>-0.4</c:v>
                </c:pt>
                <c:pt idx="21">
                  <c:v>-0.7</c:v>
                </c:pt>
                <c:pt idx="22">
                  <c:v>-0.5</c:v>
                </c:pt>
                <c:pt idx="23">
                  <c:v>-0.5</c:v>
                </c:pt>
                <c:pt idx="24">
                  <c:v>-0.7</c:v>
                </c:pt>
                <c:pt idx="25">
                  <c:v>-0.7</c:v>
                </c:pt>
                <c:pt idx="26">
                  <c:v>-0.6</c:v>
                </c:pt>
                <c:pt idx="27">
                  <c:v>-0.7</c:v>
                </c:pt>
                <c:pt idx="28">
                  <c:v>-0.7</c:v>
                </c:pt>
                <c:pt idx="29">
                  <c:v>-0.8</c:v>
                </c:pt>
                <c:pt idx="30">
                  <c:v>-0.8</c:v>
                </c:pt>
                <c:pt idx="31">
                  <c:v>-0.9</c:v>
                </c:pt>
                <c:pt idx="32">
                  <c:v>-0.9</c:v>
                </c:pt>
                <c:pt idx="33">
                  <c:v>-1</c:v>
                </c:pt>
                <c:pt idx="34">
                  <c:v>-1.1000000000000001</c:v>
                </c:pt>
                <c:pt idx="35">
                  <c:v>-1.2</c:v>
                </c:pt>
                <c:pt idx="36">
                  <c:v>-1.3</c:v>
                </c:pt>
                <c:pt idx="37">
                  <c:v>-1.4</c:v>
                </c:pt>
                <c:pt idx="38">
                  <c:v>-1.5</c:v>
                </c:pt>
                <c:pt idx="39">
                  <c:v>-1.6</c:v>
                </c:pt>
                <c:pt idx="40">
                  <c:v>-1.8</c:v>
                </c:pt>
              </c:numCache>
            </c:numRef>
          </c:val>
          <c:smooth val="0"/>
          <c:extLst>
            <c:ext xmlns:c16="http://schemas.microsoft.com/office/drawing/2014/chart" uri="{C3380CC4-5D6E-409C-BE32-E72D297353CC}">
              <c16:uniqueId val="{00000001-A3AD-4943-A45A-97FB4CE24B88}"/>
            </c:ext>
          </c:extLst>
        </c:ser>
        <c:ser>
          <c:idx val="2"/>
          <c:order val="2"/>
          <c:tx>
            <c:strRef>
              <c:f>'Interactive charts'!$M$4</c:f>
              <c:strCache>
                <c:ptCount val="1"/>
                <c:pt idx="0">
                  <c:v>Higher — Long-run NOM, 285,000; Long-run fertility rate 1.44</c:v>
                </c:pt>
              </c:strCache>
            </c:strRef>
          </c:tx>
          <c:spPr>
            <a:ln w="28575" cap="rnd">
              <a:solidFill>
                <a:srgbClr val="754479"/>
              </a:solidFill>
              <a:prstDash val="dash"/>
              <a:round/>
            </a:ln>
            <a:effectLst/>
          </c:spPr>
          <c:marker>
            <c:symbol val="none"/>
          </c:marker>
          <c:cat>
            <c:strRef>
              <c:f>'Interactive charts'!$J$8:$J$48</c:f>
              <c:strCache>
                <c:ptCount val="41"/>
                <c:pt idx="0">
                  <c:v>2025-26</c:v>
                </c:pt>
                <c:pt idx="1">
                  <c:v>2026-27</c:v>
                </c:pt>
                <c:pt idx="2">
                  <c:v>2027-28</c:v>
                </c:pt>
                <c:pt idx="3">
                  <c:v>2028-29</c:v>
                </c:pt>
                <c:pt idx="4">
                  <c:v>2029-30</c:v>
                </c:pt>
                <c:pt idx="5">
                  <c:v>2030-31</c:v>
                </c:pt>
                <c:pt idx="6">
                  <c:v>2031-32</c:v>
                </c:pt>
                <c:pt idx="7">
                  <c:v>2032-33</c:v>
                </c:pt>
                <c:pt idx="8">
                  <c:v>2033-34</c:v>
                </c:pt>
                <c:pt idx="9">
                  <c:v>2034-35</c:v>
                </c:pt>
                <c:pt idx="10">
                  <c:v>2035-36</c:v>
                </c:pt>
                <c:pt idx="11">
                  <c:v>2036-37</c:v>
                </c:pt>
                <c:pt idx="12">
                  <c:v>2037-38</c:v>
                </c:pt>
                <c:pt idx="13">
                  <c:v>2038-39</c:v>
                </c:pt>
                <c:pt idx="14">
                  <c:v>2039-40</c:v>
                </c:pt>
                <c:pt idx="15">
                  <c:v>2040-41</c:v>
                </c:pt>
                <c:pt idx="16">
                  <c:v>2041-42</c:v>
                </c:pt>
                <c:pt idx="17">
                  <c:v>2042-43</c:v>
                </c:pt>
                <c:pt idx="18">
                  <c:v>2043-44</c:v>
                </c:pt>
                <c:pt idx="19">
                  <c:v>2044-45</c:v>
                </c:pt>
                <c:pt idx="20">
                  <c:v>2045-46</c:v>
                </c:pt>
                <c:pt idx="21">
                  <c:v>2046-47</c:v>
                </c:pt>
                <c:pt idx="22">
                  <c:v>2047-48</c:v>
                </c:pt>
                <c:pt idx="23">
                  <c:v>2048-49</c:v>
                </c:pt>
                <c:pt idx="24">
                  <c:v>2049-50</c:v>
                </c:pt>
                <c:pt idx="25">
                  <c:v>2050-51</c:v>
                </c:pt>
                <c:pt idx="26">
                  <c:v>2051-52</c:v>
                </c:pt>
                <c:pt idx="27">
                  <c:v>2052-53</c:v>
                </c:pt>
                <c:pt idx="28">
                  <c:v>2053-54</c:v>
                </c:pt>
                <c:pt idx="29">
                  <c:v>2054-55</c:v>
                </c:pt>
                <c:pt idx="30">
                  <c:v>2055-56</c:v>
                </c:pt>
                <c:pt idx="31">
                  <c:v>2056-57</c:v>
                </c:pt>
                <c:pt idx="32">
                  <c:v>2057-58</c:v>
                </c:pt>
                <c:pt idx="33">
                  <c:v>2058-59</c:v>
                </c:pt>
                <c:pt idx="34">
                  <c:v>2059-60</c:v>
                </c:pt>
                <c:pt idx="35">
                  <c:v>2060-61</c:v>
                </c:pt>
                <c:pt idx="36">
                  <c:v>2061-62</c:v>
                </c:pt>
                <c:pt idx="37">
                  <c:v>2062-63</c:v>
                </c:pt>
                <c:pt idx="38">
                  <c:v>2063-64</c:v>
                </c:pt>
                <c:pt idx="39">
                  <c:v>2064-65</c:v>
                </c:pt>
                <c:pt idx="40">
                  <c:v>2065-66</c:v>
                </c:pt>
              </c:strCache>
            </c:strRef>
          </c:cat>
          <c:val>
            <c:numRef>
              <c:f>'Interactive charts'!$M$8:$M$48</c:f>
              <c:numCache>
                <c:formatCode>0.0</c:formatCode>
                <c:ptCount val="41"/>
                <c:pt idx="0">
                  <c:v>-1</c:v>
                </c:pt>
                <c:pt idx="1">
                  <c:v>-1</c:v>
                </c:pt>
                <c:pt idx="2">
                  <c:v>-1</c:v>
                </c:pt>
                <c:pt idx="3">
                  <c:v>-1</c:v>
                </c:pt>
                <c:pt idx="4">
                  <c:v>-0.7</c:v>
                </c:pt>
                <c:pt idx="5">
                  <c:v>-0.8</c:v>
                </c:pt>
                <c:pt idx="6">
                  <c:v>-0.5</c:v>
                </c:pt>
                <c:pt idx="7">
                  <c:v>-0.6</c:v>
                </c:pt>
                <c:pt idx="8">
                  <c:v>-0.6</c:v>
                </c:pt>
                <c:pt idx="9">
                  <c:v>-0.6</c:v>
                </c:pt>
                <c:pt idx="10">
                  <c:v>-0.4</c:v>
                </c:pt>
                <c:pt idx="11">
                  <c:v>-0.3</c:v>
                </c:pt>
                <c:pt idx="12">
                  <c:v>-0.4</c:v>
                </c:pt>
                <c:pt idx="13">
                  <c:v>-0.4</c:v>
                </c:pt>
                <c:pt idx="14">
                  <c:v>-0.4</c:v>
                </c:pt>
                <c:pt idx="15">
                  <c:v>-0.5</c:v>
                </c:pt>
                <c:pt idx="16">
                  <c:v>-0.3</c:v>
                </c:pt>
                <c:pt idx="17">
                  <c:v>-0.4</c:v>
                </c:pt>
                <c:pt idx="18">
                  <c:v>-0.4</c:v>
                </c:pt>
                <c:pt idx="19">
                  <c:v>-0.4</c:v>
                </c:pt>
                <c:pt idx="20">
                  <c:v>-0.4</c:v>
                </c:pt>
                <c:pt idx="21">
                  <c:v>-0.7</c:v>
                </c:pt>
                <c:pt idx="22">
                  <c:v>-0.5</c:v>
                </c:pt>
                <c:pt idx="23">
                  <c:v>-0.5</c:v>
                </c:pt>
                <c:pt idx="24">
                  <c:v>-0.6</c:v>
                </c:pt>
                <c:pt idx="25">
                  <c:v>-0.6</c:v>
                </c:pt>
                <c:pt idx="26">
                  <c:v>-0.6</c:v>
                </c:pt>
                <c:pt idx="27">
                  <c:v>-0.6</c:v>
                </c:pt>
                <c:pt idx="28">
                  <c:v>-0.6</c:v>
                </c:pt>
                <c:pt idx="29">
                  <c:v>-0.6</c:v>
                </c:pt>
                <c:pt idx="30">
                  <c:v>-0.6</c:v>
                </c:pt>
                <c:pt idx="31">
                  <c:v>-0.7</c:v>
                </c:pt>
                <c:pt idx="32">
                  <c:v>-0.7</c:v>
                </c:pt>
                <c:pt idx="33">
                  <c:v>-0.7</c:v>
                </c:pt>
                <c:pt idx="34">
                  <c:v>-0.8</c:v>
                </c:pt>
                <c:pt idx="35">
                  <c:v>-0.9</c:v>
                </c:pt>
                <c:pt idx="36">
                  <c:v>-0.9</c:v>
                </c:pt>
                <c:pt idx="37">
                  <c:v>-1</c:v>
                </c:pt>
                <c:pt idx="38">
                  <c:v>-1.1000000000000001</c:v>
                </c:pt>
                <c:pt idx="39">
                  <c:v>-1.1000000000000001</c:v>
                </c:pt>
                <c:pt idx="40">
                  <c:v>-1.3</c:v>
                </c:pt>
              </c:numCache>
            </c:numRef>
          </c:val>
          <c:smooth val="0"/>
          <c:extLst>
            <c:ext xmlns:c16="http://schemas.microsoft.com/office/drawing/2014/chart" uri="{C3380CC4-5D6E-409C-BE32-E72D297353CC}">
              <c16:uniqueId val="{00000002-A3AD-4943-A45A-97FB4CE24B88}"/>
            </c:ext>
          </c:extLst>
        </c:ser>
        <c:dLbls>
          <c:showLegendKey val="0"/>
          <c:showVal val="0"/>
          <c:showCatName val="0"/>
          <c:showSerName val="0"/>
          <c:showPercent val="0"/>
          <c:showBubbleSize val="0"/>
        </c:dLbls>
        <c:smooth val="0"/>
        <c:axId val="1136850511"/>
        <c:axId val="1033432783"/>
      </c:lineChart>
      <c:catAx>
        <c:axId val="1136850511"/>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a:t>Financial year</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1050" b="0" i="0" u="none" strike="noStrike" kern="1200" baseline="0">
                <a:solidFill>
                  <a:schemeClr val="tx1">
                    <a:lumMod val="65000"/>
                    <a:lumOff val="35000"/>
                  </a:schemeClr>
                </a:solidFill>
                <a:latin typeface="Aptos" panose="020B0004020202020204" pitchFamily="34" charset="0"/>
                <a:ea typeface="+mn-ea"/>
                <a:cs typeface="+mn-cs"/>
              </a:defRPr>
            </a:pPr>
            <a:endParaRPr lang="en-US"/>
          </a:p>
        </c:txPr>
        <c:crossAx val="1033432783"/>
        <c:crosses val="autoZero"/>
        <c:auto val="1"/>
        <c:lblAlgn val="ctr"/>
        <c:lblOffset val="100"/>
        <c:tickLblSkip val="5"/>
        <c:tickMarkSkip val="1"/>
        <c:noMultiLvlLbl val="0"/>
      </c:catAx>
      <c:valAx>
        <c:axId val="1033432783"/>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lumMod val="65000"/>
                        <a:lumOff val="35000"/>
                      </a:schemeClr>
                    </a:solidFill>
                    <a:latin typeface="Aptos" panose="020B0004020202020204" pitchFamily="34" charset="0"/>
                    <a:ea typeface="+mn-ea"/>
                    <a:cs typeface="+mn-cs"/>
                  </a:defRPr>
                </a:pPr>
                <a:r>
                  <a:rPr lang="en-AU" sz="1100">
                    <a:latin typeface="Aptos" panose="020B0004020202020204" pitchFamily="34" charset="0"/>
                  </a:rPr>
                  <a:t>% of GDP</a:t>
                </a:r>
              </a:p>
            </c:rich>
          </c:tx>
          <c:overlay val="0"/>
          <c:spPr>
            <a:noFill/>
            <a:ln>
              <a:noFill/>
            </a:ln>
            <a:effectLst/>
          </c:spPr>
          <c:txPr>
            <a:bodyPr rot="-5400000" spcFirstLastPara="1" vertOverflow="ellipsis" vert="horz" wrap="square" anchor="ctr" anchorCtr="1"/>
            <a:lstStyle/>
            <a:p>
              <a:pPr>
                <a:defRPr sz="1100" b="0" i="0" u="none" strike="noStrike" kern="1200" baseline="0">
                  <a:solidFill>
                    <a:schemeClr val="tx1">
                      <a:lumMod val="65000"/>
                      <a:lumOff val="35000"/>
                    </a:schemeClr>
                  </a:solidFill>
                  <a:latin typeface="Aptos" panose="020B0004020202020204" pitchFamily="34" charset="0"/>
                  <a:ea typeface="+mn-ea"/>
                  <a:cs typeface="+mn-cs"/>
                </a:defRPr>
              </a:pPr>
              <a:endParaRPr lang="en-US"/>
            </a:p>
          </c:txPr>
        </c:title>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Aptos" panose="020B0004020202020204" pitchFamily="34" charset="0"/>
                <a:ea typeface="+mn-ea"/>
                <a:cs typeface="+mn-cs"/>
              </a:defRPr>
            </a:pPr>
            <a:endParaRPr lang="en-US"/>
          </a:p>
        </c:txPr>
        <c:crossAx val="113685051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Aptos" panose="020B0004020202020204" pitchFamily="34" charset="0"/>
              <a:ea typeface="+mn-ea"/>
              <a:cs typeface="+mn-cs"/>
            </a:defRPr>
          </a:pPr>
          <a:endParaRPr lang="en-US"/>
        </a:p>
      </c:txPr>
    </c:legend>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rgbClr val="FFFFFF"/>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2</xdr:col>
      <xdr:colOff>8315325</xdr:colOff>
      <xdr:row>0</xdr:row>
      <xdr:rowOff>85725</xdr:rowOff>
    </xdr:from>
    <xdr:to>
      <xdr:col>2</xdr:col>
      <xdr:colOff>10303653</xdr:colOff>
      <xdr:row>2</xdr:row>
      <xdr:rowOff>91440</xdr:rowOff>
    </xdr:to>
    <xdr:pic>
      <xdr:nvPicPr>
        <xdr:cNvPr id="3" name="Picture 2">
          <a:extLst>
            <a:ext uri="{FF2B5EF4-FFF2-40B4-BE49-F238E27FC236}">
              <a16:creationId xmlns:a16="http://schemas.microsoft.com/office/drawing/2014/main" id="{704C46E6-C4C5-4DBD-A234-197FA30394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39250" y="85725"/>
          <a:ext cx="2000250" cy="628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7</xdr:row>
      <xdr:rowOff>0</xdr:rowOff>
    </xdr:from>
    <xdr:to>
      <xdr:col>7</xdr:col>
      <xdr:colOff>1303020</xdr:colOff>
      <xdr:row>31</xdr:row>
      <xdr:rowOff>19050</xdr:rowOff>
    </xdr:to>
    <xdr:graphicFrame macro="">
      <xdr:nvGraphicFramePr>
        <xdr:cNvPr id="16" name="SensitivityChart">
          <a:extLst>
            <a:ext uri="{FF2B5EF4-FFF2-40B4-BE49-F238E27FC236}">
              <a16:creationId xmlns:a16="http://schemas.microsoft.com/office/drawing/2014/main" id="{2447FD6F-6081-4FFF-AB16-3FECA052D47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C22"/>
  <sheetViews>
    <sheetView tabSelected="1" zoomScale="98" workbookViewId="0"/>
  </sheetViews>
  <sheetFormatPr defaultColWidth="9.1796875" defaultRowHeight="14.5"/>
  <cols>
    <col min="1" max="1" width="4.81640625" style="2" customWidth="1"/>
    <col min="2" max="2" width="12" style="2" customWidth="1"/>
    <col min="3" max="3" width="154.7265625" style="2" customWidth="1"/>
    <col min="4" max="16384" width="9.1796875" style="2"/>
  </cols>
  <sheetData>
    <row r="2" spans="2:3" ht="34.5">
      <c r="B2" s="1" t="s">
        <v>105</v>
      </c>
    </row>
    <row r="5" spans="2:3" ht="18.5">
      <c r="B5" s="3" t="s">
        <v>18</v>
      </c>
    </row>
    <row r="6" spans="2:3">
      <c r="B6" s="4" t="s">
        <v>24</v>
      </c>
      <c r="C6" s="2" t="s">
        <v>19</v>
      </c>
    </row>
    <row r="8" spans="2:3" ht="18.5">
      <c r="B8" s="3" t="s">
        <v>20</v>
      </c>
    </row>
    <row r="9" spans="2:3">
      <c r="B9" s="4" t="s">
        <v>22</v>
      </c>
      <c r="C9" s="2" t="s">
        <v>23</v>
      </c>
    </row>
    <row r="10" spans="2:3">
      <c r="B10" s="4" t="s">
        <v>26</v>
      </c>
      <c r="C10" s="2" t="s">
        <v>88</v>
      </c>
    </row>
    <row r="11" spans="2:3">
      <c r="B11" s="4" t="s">
        <v>25</v>
      </c>
      <c r="C11" s="11" t="s">
        <v>121</v>
      </c>
    </row>
    <row r="12" spans="2:3">
      <c r="B12" s="4" t="s">
        <v>27</v>
      </c>
      <c r="C12" s="2" t="s">
        <v>28</v>
      </c>
    </row>
    <row r="13" spans="2:3">
      <c r="B13" s="4"/>
    </row>
    <row r="14" spans="2:3" ht="18.5">
      <c r="B14" s="3" t="s">
        <v>21</v>
      </c>
    </row>
    <row r="15" spans="2:3">
      <c r="B15" s="4" t="s">
        <v>155</v>
      </c>
      <c r="C15" s="2" t="s">
        <v>212</v>
      </c>
    </row>
    <row r="16" spans="2:3">
      <c r="B16" s="4" t="s">
        <v>29</v>
      </c>
      <c r="C16" s="2" t="s">
        <v>30</v>
      </c>
    </row>
    <row r="17" spans="2:3">
      <c r="B17" s="4" t="s">
        <v>153</v>
      </c>
      <c r="C17" s="11" t="s">
        <v>122</v>
      </c>
    </row>
    <row r="19" spans="2:3" ht="18.5">
      <c r="B19" s="3" t="s">
        <v>103</v>
      </c>
    </row>
    <row r="20" spans="2:3">
      <c r="B20" s="4" t="s">
        <v>154</v>
      </c>
      <c r="C20" s="2" t="s">
        <v>106</v>
      </c>
    </row>
    <row r="22" spans="2:3">
      <c r="B22" s="4" t="s">
        <v>104</v>
      </c>
    </row>
  </sheetData>
  <hyperlinks>
    <hyperlink ref="B6" location="'Chart 1'!A1" display="Chart 1: " xr:uid="{EDD51DBE-9125-4C27-A963-E7AF549240C0}"/>
    <hyperlink ref="B10" location="'Chart 2'!A1" display="Chart 2: " xr:uid="{4DB54A2D-B1BD-4068-A2F5-4095797EBB37}"/>
    <hyperlink ref="B11" location="'Chart 3'!A1" display="Chart 3:" xr:uid="{25BFF76A-6BB4-4E75-9A1D-9807870CE577}"/>
    <hyperlink ref="B12" location="'Chart 4'!A1" display="Chart 4:" xr:uid="{F7106CC3-F15F-46C7-9C69-10E96A8B7CB1}"/>
    <hyperlink ref="B9" location="'Table 1'!A1" display="Table 1:" xr:uid="{CB20BEDB-ECDD-4DD1-AA29-810CA22DA1E6}"/>
    <hyperlink ref="B16" location="'Chart 5'!A1" display="Chart 5:" xr:uid="{4DEB0022-21C3-4855-876E-A0AD3956A1A4}"/>
    <hyperlink ref="B15" location="'Table 2&amp;3'!A1" display="Table 2&amp;3:" xr:uid="{8B559EDA-CF3E-46F3-A840-D9BAD52CE457}"/>
    <hyperlink ref="B17" location="'Table 4&amp;5'!A1" display="Table 4&amp;5:" xr:uid="{3976525E-DFA4-4F93-93D2-5A29E81DB915}"/>
    <hyperlink ref="B22" location="'Interactive charts'!A1" display="Interactive charts" xr:uid="{4B9AED9B-A04E-492F-A1B8-BFA06C2A2C4C}"/>
    <hyperlink ref="B20" location="'Table 4a&amp;5a'!A1" display="Table 4a&amp;5a" xr:uid="{6AA589E2-7E60-4DF6-BF5F-43096D231E46}"/>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9122E3-23E2-436F-A6AA-FF632249DBF6}">
  <dimension ref="A1:CE14"/>
  <sheetViews>
    <sheetView workbookViewId="0">
      <pane xSplit="2" ySplit="3" topLeftCell="C4" activePane="bottomRight" state="frozen"/>
      <selection pane="topRight" activeCell="C1" sqref="C1"/>
      <selection pane="bottomLeft" activeCell="A4" sqref="A4"/>
      <selection pane="bottomRight"/>
    </sheetView>
  </sheetViews>
  <sheetFormatPr defaultColWidth="9.1796875" defaultRowHeight="14.5"/>
  <cols>
    <col min="1" max="1" width="25.7265625" style="2" customWidth="1"/>
    <col min="2" max="2" width="16.7265625" style="2" customWidth="1"/>
    <col min="3" max="12" width="9.7265625" style="2" customWidth="1"/>
    <col min="13" max="13" width="9.453125" style="2" customWidth="1"/>
    <col min="14" max="16384" width="9.1796875" style="2"/>
  </cols>
  <sheetData>
    <row r="1" spans="1:83" ht="16">
      <c r="A1" s="5" t="s">
        <v>76</v>
      </c>
    </row>
    <row r="2" spans="1:83" ht="16">
      <c r="A2" s="5"/>
    </row>
    <row r="3" spans="1:83">
      <c r="A3" s="6" t="s">
        <v>0</v>
      </c>
      <c r="B3" s="6" t="s">
        <v>1</v>
      </c>
      <c r="C3" s="7" t="s">
        <v>216</v>
      </c>
      <c r="D3" s="7" t="s">
        <v>217</v>
      </c>
      <c r="E3" s="7" t="s">
        <v>218</v>
      </c>
      <c r="F3" s="7" t="s">
        <v>219</v>
      </c>
      <c r="G3" s="7" t="s">
        <v>220</v>
      </c>
      <c r="H3" s="7" t="s">
        <v>221</v>
      </c>
      <c r="I3" s="7" t="s">
        <v>222</v>
      </c>
      <c r="J3" s="7" t="s">
        <v>223</v>
      </c>
      <c r="K3" s="7" t="s">
        <v>224</v>
      </c>
      <c r="L3" s="7" t="s">
        <v>225</v>
      </c>
      <c r="M3" s="7" t="s">
        <v>226</v>
      </c>
      <c r="N3" s="7" t="s">
        <v>227</v>
      </c>
      <c r="O3" s="7" t="s">
        <v>228</v>
      </c>
      <c r="P3" s="7" t="s">
        <v>229</v>
      </c>
      <c r="Q3" s="7" t="s">
        <v>230</v>
      </c>
      <c r="R3" s="7" t="s">
        <v>231</v>
      </c>
      <c r="S3" s="7" t="s">
        <v>232</v>
      </c>
      <c r="T3" s="7" t="s">
        <v>233</v>
      </c>
      <c r="U3" s="7" t="s">
        <v>234</v>
      </c>
      <c r="V3" s="7" t="s">
        <v>235</v>
      </c>
      <c r="W3" s="7" t="s">
        <v>236</v>
      </c>
      <c r="X3" s="7" t="s">
        <v>237</v>
      </c>
      <c r="Y3" s="7" t="s">
        <v>238</v>
      </c>
      <c r="Z3" s="7" t="s">
        <v>239</v>
      </c>
      <c r="AA3" s="7" t="s">
        <v>240</v>
      </c>
      <c r="AB3" s="7" t="s">
        <v>241</v>
      </c>
      <c r="AC3" s="7" t="s">
        <v>242</v>
      </c>
      <c r="AD3" s="7" t="s">
        <v>243</v>
      </c>
      <c r="AE3" s="7" t="s">
        <v>244</v>
      </c>
      <c r="AF3" s="7" t="s">
        <v>245</v>
      </c>
      <c r="AG3" s="7" t="s">
        <v>246</v>
      </c>
      <c r="AH3" s="7" t="s">
        <v>247</v>
      </c>
      <c r="AI3" s="7" t="s">
        <v>248</v>
      </c>
      <c r="AJ3" s="7" t="s">
        <v>249</v>
      </c>
      <c r="AK3" s="7" t="s">
        <v>250</v>
      </c>
      <c r="AL3" s="7" t="s">
        <v>251</v>
      </c>
      <c r="AM3" s="7" t="s">
        <v>252</v>
      </c>
      <c r="AN3" s="7" t="s">
        <v>253</v>
      </c>
      <c r="AO3" s="7" t="s">
        <v>254</v>
      </c>
      <c r="AP3" s="7" t="s">
        <v>255</v>
      </c>
      <c r="AQ3" s="7" t="s">
        <v>17</v>
      </c>
      <c r="AR3" s="7" t="s">
        <v>13</v>
      </c>
      <c r="AS3" s="7" t="s">
        <v>2</v>
      </c>
      <c r="AT3" s="7" t="s">
        <v>3</v>
      </c>
      <c r="AU3" s="7" t="s">
        <v>4</v>
      </c>
      <c r="AV3" s="7" t="s">
        <v>5</v>
      </c>
      <c r="AW3" s="7" t="s">
        <v>6</v>
      </c>
      <c r="AX3" s="7" t="s">
        <v>7</v>
      </c>
      <c r="AY3" s="7" t="s">
        <v>8</v>
      </c>
      <c r="AZ3" s="7" t="s">
        <v>9</v>
      </c>
      <c r="BA3" s="7" t="s">
        <v>10</v>
      </c>
      <c r="BB3" s="7" t="s">
        <v>11</v>
      </c>
      <c r="BC3" s="7" t="s">
        <v>256</v>
      </c>
      <c r="BD3" s="7" t="s">
        <v>257</v>
      </c>
      <c r="BE3" s="7" t="s">
        <v>258</v>
      </c>
      <c r="BF3" s="7" t="s">
        <v>259</v>
      </c>
      <c r="BG3" s="7" t="s">
        <v>260</v>
      </c>
      <c r="BH3" s="7" t="s">
        <v>261</v>
      </c>
      <c r="BI3" s="7" t="s">
        <v>262</v>
      </c>
      <c r="BJ3" s="7" t="s">
        <v>263</v>
      </c>
      <c r="BK3" s="7" t="s">
        <v>264</v>
      </c>
      <c r="BL3" s="7" t="s">
        <v>265</v>
      </c>
      <c r="BM3" s="7" t="s">
        <v>266</v>
      </c>
      <c r="BN3" s="7" t="s">
        <v>267</v>
      </c>
      <c r="BO3" s="7" t="s">
        <v>268</v>
      </c>
      <c r="BP3" s="7" t="s">
        <v>269</v>
      </c>
      <c r="BQ3" s="7" t="s">
        <v>270</v>
      </c>
      <c r="BR3" s="7" t="s">
        <v>271</v>
      </c>
      <c r="BS3" s="7" t="s">
        <v>272</v>
      </c>
      <c r="BT3" s="7" t="s">
        <v>273</v>
      </c>
      <c r="BU3" s="7" t="s">
        <v>274</v>
      </c>
      <c r="BV3" s="7" t="s">
        <v>275</v>
      </c>
      <c r="BW3" s="7" t="s">
        <v>276</v>
      </c>
      <c r="BX3" s="7" t="s">
        <v>277</v>
      </c>
      <c r="BY3" s="7" t="s">
        <v>278</v>
      </c>
      <c r="BZ3" s="7" t="s">
        <v>279</v>
      </c>
      <c r="CA3" s="7" t="s">
        <v>280</v>
      </c>
      <c r="CB3" s="7" t="s">
        <v>281</v>
      </c>
      <c r="CC3" s="7" t="s">
        <v>282</v>
      </c>
      <c r="CD3" s="7" t="s">
        <v>283</v>
      </c>
      <c r="CE3" s="7" t="s">
        <v>284</v>
      </c>
    </row>
    <row r="4" spans="1:83">
      <c r="A4" s="2" t="s">
        <v>82</v>
      </c>
      <c r="B4" s="2" t="s">
        <v>15</v>
      </c>
      <c r="C4" s="9">
        <v>-2</v>
      </c>
      <c r="D4" s="9">
        <v>-0.8</v>
      </c>
      <c r="E4" s="9">
        <v>0.4</v>
      </c>
      <c r="F4" s="9">
        <v>1.5</v>
      </c>
      <c r="G4" s="9">
        <v>1.5</v>
      </c>
      <c r="H4" s="9">
        <v>-0.1</v>
      </c>
      <c r="I4" s="9">
        <v>-3</v>
      </c>
      <c r="J4" s="9">
        <v>-4.0999999999999996</v>
      </c>
      <c r="K4" s="9">
        <v>-3.9</v>
      </c>
      <c r="L4" s="9">
        <v>-2.9</v>
      </c>
      <c r="M4" s="9">
        <v>-2.1</v>
      </c>
      <c r="N4" s="9">
        <v>-1.1000000000000001</v>
      </c>
      <c r="O4" s="9">
        <v>0</v>
      </c>
      <c r="P4" s="9">
        <v>0.6</v>
      </c>
      <c r="Q4" s="9">
        <v>2</v>
      </c>
      <c r="R4" s="9">
        <v>0.8</v>
      </c>
      <c r="S4" s="9">
        <v>-0.1</v>
      </c>
      <c r="T4" s="9">
        <v>0.9</v>
      </c>
      <c r="U4" s="9">
        <v>0.9</v>
      </c>
      <c r="V4" s="9">
        <v>1.5</v>
      </c>
      <c r="W4" s="9">
        <v>1.6</v>
      </c>
      <c r="X4" s="9">
        <v>1.6</v>
      </c>
      <c r="Y4" s="9">
        <v>1.7</v>
      </c>
      <c r="Z4" s="9">
        <v>-2.1</v>
      </c>
      <c r="AA4" s="9">
        <v>-4.2</v>
      </c>
      <c r="AB4" s="9">
        <v>-3.3</v>
      </c>
      <c r="AC4" s="9">
        <v>-2.9</v>
      </c>
      <c r="AD4" s="9">
        <v>-1.2</v>
      </c>
      <c r="AE4" s="9">
        <v>-3</v>
      </c>
      <c r="AF4" s="9">
        <v>-2.2999999999999998</v>
      </c>
      <c r="AG4" s="9">
        <v>-2.4</v>
      </c>
      <c r="AH4" s="9">
        <v>-1.9</v>
      </c>
      <c r="AI4" s="9">
        <v>-0.6</v>
      </c>
      <c r="AJ4" s="9">
        <v>0</v>
      </c>
      <c r="AK4" s="9">
        <v>-4.3</v>
      </c>
      <c r="AL4" s="9">
        <v>-6.4</v>
      </c>
      <c r="AM4" s="9">
        <v>-1.4</v>
      </c>
      <c r="AN4" s="9">
        <v>0.9</v>
      </c>
      <c r="AO4" s="9">
        <v>0.6</v>
      </c>
      <c r="AP4" s="9">
        <v>-0.4</v>
      </c>
      <c r="AQ4" s="9"/>
      <c r="AR4" s="9"/>
      <c r="AS4" s="9"/>
      <c r="AT4" s="9"/>
      <c r="AU4" s="9"/>
      <c r="AV4" s="9"/>
      <c r="AW4" s="9"/>
      <c r="AX4" s="9"/>
      <c r="AY4" s="9"/>
      <c r="AZ4" s="9"/>
      <c r="BA4" s="9"/>
      <c r="BB4" s="9"/>
      <c r="BC4" s="9"/>
      <c r="BD4" s="9"/>
      <c r="BE4" s="9"/>
      <c r="BF4" s="9"/>
      <c r="BG4" s="9"/>
      <c r="BH4" s="9"/>
      <c r="BI4" s="9"/>
      <c r="BJ4" s="9"/>
      <c r="BK4" s="9"/>
      <c r="BL4" s="9"/>
      <c r="BM4" s="9"/>
      <c r="BN4" s="9"/>
      <c r="BO4" s="9"/>
      <c r="BP4" s="9"/>
      <c r="BQ4" s="9"/>
      <c r="BR4" s="9"/>
      <c r="BS4" s="9"/>
      <c r="BT4" s="9"/>
      <c r="BU4" s="9"/>
      <c r="BV4" s="9"/>
      <c r="BW4" s="9"/>
      <c r="BX4" s="9"/>
      <c r="BY4" s="9"/>
      <c r="BZ4" s="9"/>
      <c r="CA4" s="9"/>
      <c r="CB4" s="9"/>
      <c r="CC4" s="9"/>
      <c r="CD4" s="9"/>
      <c r="CE4" s="9"/>
    </row>
    <row r="5" spans="1:83">
      <c r="A5" s="2" t="s">
        <v>79</v>
      </c>
      <c r="B5" s="2" t="s">
        <v>15</v>
      </c>
      <c r="C5" s="9"/>
      <c r="D5" s="9"/>
      <c r="E5" s="9"/>
      <c r="F5" s="9"/>
      <c r="G5" s="9"/>
      <c r="H5" s="9"/>
      <c r="I5" s="9"/>
      <c r="J5" s="9"/>
      <c r="K5" s="9"/>
      <c r="L5" s="9"/>
      <c r="M5" s="9"/>
      <c r="N5" s="9"/>
      <c r="O5" s="9"/>
      <c r="P5" s="9"/>
      <c r="Q5" s="9"/>
      <c r="R5" s="9">
        <v>0.8</v>
      </c>
      <c r="S5" s="9">
        <v>-0.2</v>
      </c>
      <c r="T5" s="9">
        <v>0.3</v>
      </c>
      <c r="U5" s="9">
        <v>0.5</v>
      </c>
      <c r="V5" s="9">
        <v>0.6</v>
      </c>
      <c r="W5" s="9">
        <v>0.8</v>
      </c>
      <c r="X5" s="9">
        <v>1.2</v>
      </c>
      <c r="Y5" s="9">
        <v>1.3</v>
      </c>
      <c r="Z5" s="9">
        <v>1.2</v>
      </c>
      <c r="AA5" s="9">
        <v>1.2</v>
      </c>
      <c r="AB5" s="9">
        <v>1.2</v>
      </c>
      <c r="AC5" s="9">
        <v>1.3</v>
      </c>
      <c r="AD5" s="9">
        <v>1.2</v>
      </c>
      <c r="AE5" s="9">
        <v>1.1000000000000001</v>
      </c>
      <c r="AF5" s="9">
        <v>1</v>
      </c>
      <c r="AG5" s="9">
        <v>0.9</v>
      </c>
      <c r="AH5" s="9">
        <v>0.8</v>
      </c>
      <c r="AI5" s="9">
        <v>0.7</v>
      </c>
      <c r="AJ5" s="9">
        <v>0.5</v>
      </c>
      <c r="AK5" s="9">
        <v>0.4</v>
      </c>
      <c r="AL5" s="9">
        <v>0.2</v>
      </c>
      <c r="AM5" s="9">
        <v>0</v>
      </c>
      <c r="AN5" s="9">
        <v>-0.2</v>
      </c>
      <c r="AO5" s="9">
        <v>-0.5</v>
      </c>
      <c r="AP5" s="9">
        <v>-0.7</v>
      </c>
      <c r="AQ5" s="9">
        <v>-1</v>
      </c>
      <c r="AR5" s="9">
        <v>-1.3</v>
      </c>
      <c r="AS5" s="9">
        <v>-1.6</v>
      </c>
      <c r="AT5" s="9">
        <v>-1.9</v>
      </c>
      <c r="AU5" s="9">
        <v>-2.2000000000000002</v>
      </c>
      <c r="AV5" s="9">
        <v>-2.5</v>
      </c>
      <c r="AW5" s="9">
        <v>-2.9</v>
      </c>
      <c r="AX5" s="9">
        <v>-3.2</v>
      </c>
      <c r="AY5" s="9">
        <v>-3.6</v>
      </c>
      <c r="AZ5" s="9">
        <v>-4</v>
      </c>
      <c r="BA5" s="9">
        <v>-4.4000000000000004</v>
      </c>
      <c r="BB5" s="9">
        <v>-4.8</v>
      </c>
      <c r="BC5" s="9">
        <v>-5.3</v>
      </c>
      <c r="BD5" s="9">
        <v>-5.7</v>
      </c>
      <c r="BE5" s="9">
        <v>-6.2</v>
      </c>
      <c r="BF5" s="9">
        <v>-6.7</v>
      </c>
      <c r="BG5" s="9">
        <v>-7.2</v>
      </c>
      <c r="BH5" s="9"/>
      <c r="BI5" s="9"/>
      <c r="BJ5" s="9"/>
      <c r="BK5" s="9"/>
      <c r="BL5" s="9"/>
      <c r="BM5" s="9"/>
      <c r="BN5" s="9"/>
      <c r="BO5" s="9"/>
      <c r="BP5" s="9"/>
      <c r="BQ5" s="9"/>
      <c r="BR5" s="9"/>
      <c r="BS5" s="9"/>
      <c r="BT5" s="9"/>
      <c r="BU5" s="9"/>
      <c r="BV5" s="9"/>
      <c r="BW5" s="9"/>
      <c r="BX5" s="9"/>
      <c r="BY5" s="9"/>
      <c r="BZ5" s="9"/>
      <c r="CA5" s="9"/>
      <c r="CB5" s="9"/>
      <c r="CC5" s="9"/>
      <c r="CD5" s="9"/>
      <c r="CE5" s="9"/>
    </row>
    <row r="6" spans="1:83">
      <c r="A6" s="2" t="s">
        <v>80</v>
      </c>
      <c r="B6" s="2" t="s">
        <v>15</v>
      </c>
      <c r="C6" s="9"/>
      <c r="D6" s="9"/>
      <c r="E6" s="9"/>
      <c r="F6" s="9"/>
      <c r="G6" s="9"/>
      <c r="H6" s="9"/>
      <c r="I6" s="9"/>
      <c r="J6" s="9"/>
      <c r="K6" s="9"/>
      <c r="L6" s="9"/>
      <c r="M6" s="9"/>
      <c r="N6" s="9"/>
      <c r="O6" s="9"/>
      <c r="P6" s="9"/>
      <c r="Q6" s="9"/>
      <c r="R6" s="9"/>
      <c r="S6" s="9"/>
      <c r="T6" s="9"/>
      <c r="U6" s="9"/>
      <c r="V6" s="9"/>
      <c r="W6" s="9"/>
      <c r="X6" s="9">
        <v>1.1000000000000001</v>
      </c>
      <c r="Y6" s="9">
        <v>0.9</v>
      </c>
      <c r="Z6" s="9">
        <v>1</v>
      </c>
      <c r="AA6" s="9">
        <v>1.2</v>
      </c>
      <c r="AB6" s="9">
        <v>1</v>
      </c>
      <c r="AC6" s="9">
        <v>1</v>
      </c>
      <c r="AD6" s="9">
        <v>1</v>
      </c>
      <c r="AE6" s="9">
        <v>1.1000000000000001</v>
      </c>
      <c r="AF6" s="9">
        <v>1.1000000000000001</v>
      </c>
      <c r="AG6" s="9">
        <v>1</v>
      </c>
      <c r="AH6" s="9">
        <v>1</v>
      </c>
      <c r="AI6" s="9">
        <v>1</v>
      </c>
      <c r="AJ6" s="9">
        <v>0.9</v>
      </c>
      <c r="AK6" s="9">
        <v>0.8</v>
      </c>
      <c r="AL6" s="9">
        <v>0.7</v>
      </c>
      <c r="AM6" s="9">
        <v>0.6</v>
      </c>
      <c r="AN6" s="9">
        <v>0.5</v>
      </c>
      <c r="AO6" s="9">
        <v>0.3</v>
      </c>
      <c r="AP6" s="9">
        <v>0.2</v>
      </c>
      <c r="AQ6" s="9">
        <v>0.1</v>
      </c>
      <c r="AR6" s="9">
        <v>-0.1</v>
      </c>
      <c r="AS6" s="9">
        <v>-0.3</v>
      </c>
      <c r="AT6" s="9">
        <v>-0.4</v>
      </c>
      <c r="AU6" s="9">
        <v>-0.6</v>
      </c>
      <c r="AV6" s="9">
        <v>-0.8</v>
      </c>
      <c r="AW6" s="9">
        <v>-1</v>
      </c>
      <c r="AX6" s="9">
        <v>-1.2</v>
      </c>
      <c r="AY6" s="9">
        <v>-1.5</v>
      </c>
      <c r="AZ6" s="9">
        <v>-1.7</v>
      </c>
      <c r="BA6" s="9">
        <v>-1.9</v>
      </c>
      <c r="BB6" s="9">
        <v>-2.2000000000000002</v>
      </c>
      <c r="BC6" s="9">
        <v>-2.4</v>
      </c>
      <c r="BD6" s="9">
        <v>-2.6</v>
      </c>
      <c r="BE6" s="9">
        <v>-2.9</v>
      </c>
      <c r="BF6" s="9">
        <v>-3.2</v>
      </c>
      <c r="BG6" s="9">
        <v>-3.4</v>
      </c>
      <c r="BH6" s="9">
        <v>-3.7</v>
      </c>
      <c r="BI6" s="9">
        <v>-4</v>
      </c>
      <c r="BJ6" s="9">
        <v>-4.3</v>
      </c>
      <c r="BK6" s="9">
        <v>-4.5999999999999996</v>
      </c>
      <c r="BL6" s="9">
        <v>-4.9000000000000004</v>
      </c>
      <c r="BM6" s="9"/>
      <c r="BN6" s="9"/>
      <c r="BO6" s="9"/>
      <c r="BP6" s="9"/>
      <c r="BQ6" s="9"/>
      <c r="BR6" s="9"/>
      <c r="BS6" s="9"/>
      <c r="BT6" s="9"/>
      <c r="BU6" s="9"/>
      <c r="BV6" s="9"/>
      <c r="BW6" s="9"/>
      <c r="BX6" s="9"/>
      <c r="BY6" s="9"/>
      <c r="BZ6" s="9"/>
      <c r="CA6" s="9"/>
      <c r="CB6" s="9"/>
      <c r="CC6" s="9"/>
      <c r="CD6" s="9"/>
      <c r="CE6" s="9"/>
    </row>
    <row r="7" spans="1:83">
      <c r="A7" s="2" t="s">
        <v>81</v>
      </c>
      <c r="B7" s="2" t="s">
        <v>15</v>
      </c>
      <c r="C7" s="9"/>
      <c r="D7" s="9"/>
      <c r="E7" s="9"/>
      <c r="F7" s="9"/>
      <c r="G7" s="9"/>
      <c r="H7" s="9"/>
      <c r="I7" s="9"/>
      <c r="J7" s="9"/>
      <c r="K7" s="9"/>
      <c r="L7" s="9"/>
      <c r="M7" s="9"/>
      <c r="N7" s="9"/>
      <c r="O7" s="9"/>
      <c r="P7" s="9"/>
      <c r="Q7" s="9"/>
      <c r="R7" s="9"/>
      <c r="S7" s="9"/>
      <c r="T7" s="9"/>
      <c r="U7" s="9"/>
      <c r="V7" s="9"/>
      <c r="W7" s="9"/>
      <c r="X7" s="9"/>
      <c r="Y7" s="9"/>
      <c r="Z7" s="9"/>
      <c r="AA7" s="9"/>
      <c r="AB7" s="9">
        <v>-3.5</v>
      </c>
      <c r="AC7" s="9">
        <v>-2.2000000000000002</v>
      </c>
      <c r="AD7" s="9">
        <v>-1</v>
      </c>
      <c r="AE7" s="9">
        <v>-0.8</v>
      </c>
      <c r="AF7" s="9">
        <v>-0.2</v>
      </c>
      <c r="AG7" s="9">
        <v>0.3</v>
      </c>
      <c r="AH7" s="9">
        <v>0.6</v>
      </c>
      <c r="AI7" s="9">
        <v>0.8</v>
      </c>
      <c r="AJ7" s="9">
        <v>1.1000000000000001</v>
      </c>
      <c r="AK7" s="9">
        <v>1</v>
      </c>
      <c r="AL7" s="9">
        <v>1</v>
      </c>
      <c r="AM7" s="9">
        <v>1</v>
      </c>
      <c r="AN7" s="9">
        <v>0.9</v>
      </c>
      <c r="AO7" s="9">
        <v>0.9</v>
      </c>
      <c r="AP7" s="9">
        <v>0.8</v>
      </c>
      <c r="AQ7" s="9">
        <v>0.8</v>
      </c>
      <c r="AR7" s="9">
        <v>0.7</v>
      </c>
      <c r="AS7" s="9">
        <v>0.5</v>
      </c>
      <c r="AT7" s="9">
        <v>0.5</v>
      </c>
      <c r="AU7" s="9">
        <v>0.4</v>
      </c>
      <c r="AV7" s="9">
        <v>0.2</v>
      </c>
      <c r="AW7" s="9">
        <v>0.1</v>
      </c>
      <c r="AX7" s="9">
        <v>0</v>
      </c>
      <c r="AY7" s="9">
        <v>-0.1</v>
      </c>
      <c r="AZ7" s="9">
        <v>-0.3</v>
      </c>
      <c r="BA7" s="9">
        <v>-0.5</v>
      </c>
      <c r="BB7" s="9">
        <v>-0.6</v>
      </c>
      <c r="BC7" s="9">
        <v>-0.8</v>
      </c>
      <c r="BD7" s="9">
        <v>-1</v>
      </c>
      <c r="BE7" s="9">
        <v>-1.2</v>
      </c>
      <c r="BF7" s="9">
        <v>-1.4</v>
      </c>
      <c r="BG7" s="9">
        <v>-1.6</v>
      </c>
      <c r="BH7" s="9">
        <v>-1.9</v>
      </c>
      <c r="BI7" s="9">
        <v>-2.1</v>
      </c>
      <c r="BJ7" s="9">
        <v>-2.2999999999999998</v>
      </c>
      <c r="BK7" s="9">
        <v>-2.6</v>
      </c>
      <c r="BL7" s="9">
        <v>-2.9</v>
      </c>
      <c r="BM7" s="9">
        <v>-3.2</v>
      </c>
      <c r="BN7" s="9">
        <v>-3.5</v>
      </c>
      <c r="BO7" s="9">
        <v>-3.8</v>
      </c>
      <c r="BP7" s="9"/>
      <c r="BQ7" s="9"/>
      <c r="BR7" s="9"/>
      <c r="BS7" s="9"/>
      <c r="BT7" s="9"/>
      <c r="BU7" s="9"/>
      <c r="BV7" s="9"/>
      <c r="BW7" s="9"/>
      <c r="BX7" s="9"/>
      <c r="BY7" s="9"/>
      <c r="BZ7" s="9"/>
      <c r="CA7" s="9"/>
      <c r="CB7" s="9"/>
      <c r="CC7" s="9"/>
      <c r="CD7" s="9"/>
      <c r="CE7" s="9"/>
    </row>
    <row r="8" spans="1:83">
      <c r="A8" s="2" t="s">
        <v>83</v>
      </c>
      <c r="B8" s="2" t="s">
        <v>15</v>
      </c>
      <c r="C8" s="9"/>
      <c r="D8" s="9"/>
      <c r="E8" s="9"/>
      <c r="F8" s="9"/>
      <c r="G8" s="9"/>
      <c r="H8" s="9"/>
      <c r="I8" s="9"/>
      <c r="J8" s="9"/>
      <c r="K8" s="9"/>
      <c r="L8" s="9"/>
      <c r="M8" s="9"/>
      <c r="N8" s="9"/>
      <c r="O8" s="9"/>
      <c r="P8" s="9"/>
      <c r="Q8" s="9"/>
      <c r="R8" s="9"/>
      <c r="S8" s="9"/>
      <c r="T8" s="9"/>
      <c r="U8" s="9"/>
      <c r="V8" s="9"/>
      <c r="W8" s="9"/>
      <c r="X8" s="9"/>
      <c r="Y8" s="9"/>
      <c r="Z8" s="9"/>
      <c r="AA8" s="9"/>
      <c r="AB8" s="9"/>
      <c r="AC8" s="9"/>
      <c r="AD8" s="9"/>
      <c r="AE8" s="9"/>
      <c r="AF8" s="9">
        <v>-2.5</v>
      </c>
      <c r="AG8" s="9">
        <v>-1.9</v>
      </c>
      <c r="AH8" s="9">
        <v>-1.2</v>
      </c>
      <c r="AI8" s="9">
        <v>-0.6</v>
      </c>
      <c r="AJ8" s="9">
        <v>-0.4</v>
      </c>
      <c r="AK8" s="9">
        <v>0.1</v>
      </c>
      <c r="AL8" s="9">
        <v>0.7</v>
      </c>
      <c r="AM8" s="9">
        <v>0.8</v>
      </c>
      <c r="AN8" s="9">
        <v>0.8</v>
      </c>
      <c r="AO8" s="9">
        <v>0.7</v>
      </c>
      <c r="AP8" s="9">
        <v>0.8</v>
      </c>
      <c r="AQ8" s="9">
        <v>0.9</v>
      </c>
      <c r="AR8" s="9">
        <v>0.9</v>
      </c>
      <c r="AS8" s="9">
        <v>1.1000000000000001</v>
      </c>
      <c r="AT8" s="9">
        <v>1.1000000000000001</v>
      </c>
      <c r="AU8" s="9">
        <v>1.1000000000000001</v>
      </c>
      <c r="AV8" s="9">
        <v>1.1000000000000001</v>
      </c>
      <c r="AW8" s="9">
        <v>1.2</v>
      </c>
      <c r="AX8" s="9">
        <v>1.2</v>
      </c>
      <c r="AY8" s="9">
        <v>1.3</v>
      </c>
      <c r="AZ8" s="9">
        <v>1.3</v>
      </c>
      <c r="BA8" s="9">
        <v>1.4</v>
      </c>
      <c r="BB8" s="9">
        <v>1.4</v>
      </c>
      <c r="BC8" s="9">
        <v>1.4</v>
      </c>
      <c r="BD8" s="9">
        <v>1.4</v>
      </c>
      <c r="BE8" s="9">
        <v>1.4</v>
      </c>
      <c r="BF8" s="9">
        <v>1.4</v>
      </c>
      <c r="BG8" s="9">
        <v>1.4</v>
      </c>
      <c r="BH8" s="9">
        <v>1.4</v>
      </c>
      <c r="BI8" s="9">
        <v>1.4</v>
      </c>
      <c r="BJ8" s="9">
        <v>1.4</v>
      </c>
      <c r="BK8" s="9">
        <v>1.3</v>
      </c>
      <c r="BL8" s="9">
        <v>1.3</v>
      </c>
      <c r="BM8" s="9">
        <v>1.3</v>
      </c>
      <c r="BN8" s="9">
        <v>1.2</v>
      </c>
      <c r="BO8" s="9">
        <v>1.1000000000000001</v>
      </c>
      <c r="BP8" s="9">
        <v>1</v>
      </c>
      <c r="BQ8" s="9">
        <v>0.9</v>
      </c>
      <c r="BR8" s="9">
        <v>0.8</v>
      </c>
      <c r="BS8" s="9">
        <v>0.7</v>
      </c>
      <c r="BT8" s="9">
        <v>0.5</v>
      </c>
      <c r="BU8" s="9"/>
      <c r="BV8" s="9"/>
      <c r="BW8" s="9"/>
      <c r="BX8" s="9"/>
      <c r="BY8" s="9"/>
      <c r="BZ8" s="9"/>
      <c r="CA8" s="9"/>
      <c r="CB8" s="9"/>
      <c r="CC8" s="9"/>
      <c r="CD8" s="9"/>
      <c r="CE8" s="9"/>
    </row>
    <row r="9" spans="1:83">
      <c r="A9" s="2" t="s">
        <v>84</v>
      </c>
      <c r="B9" s="2" t="s">
        <v>15</v>
      </c>
      <c r="C9" s="9"/>
      <c r="D9" s="9"/>
      <c r="E9" s="9"/>
      <c r="F9" s="9"/>
      <c r="G9" s="9"/>
      <c r="H9" s="9"/>
      <c r="I9" s="9"/>
      <c r="J9" s="9"/>
      <c r="K9" s="9"/>
      <c r="L9" s="9"/>
      <c r="M9" s="9"/>
      <c r="N9" s="9"/>
      <c r="O9" s="9"/>
      <c r="P9" s="9"/>
      <c r="Q9" s="9"/>
      <c r="R9" s="9"/>
      <c r="S9" s="9"/>
      <c r="T9" s="9"/>
      <c r="U9" s="9"/>
      <c r="V9" s="9"/>
      <c r="W9" s="9"/>
      <c r="X9" s="9"/>
      <c r="Y9" s="9"/>
      <c r="Z9" s="9"/>
      <c r="AA9" s="9"/>
      <c r="AB9" s="9"/>
      <c r="AC9" s="9"/>
      <c r="AD9" s="9"/>
      <c r="AE9" s="9"/>
      <c r="AF9" s="9"/>
      <c r="AG9" s="9"/>
      <c r="AH9" s="9"/>
      <c r="AI9" s="9"/>
      <c r="AJ9" s="9"/>
      <c r="AK9" s="9"/>
      <c r="AL9" s="9">
        <v>-7.8</v>
      </c>
      <c r="AM9" s="9">
        <v>-5</v>
      </c>
      <c r="AN9" s="9">
        <v>-4.5999999999999996</v>
      </c>
      <c r="AO9" s="9">
        <v>-3.5</v>
      </c>
      <c r="AP9" s="9">
        <v>-2.4</v>
      </c>
      <c r="AQ9" s="9">
        <v>-2.5</v>
      </c>
      <c r="AR9" s="9">
        <v>-2.2000000000000002</v>
      </c>
      <c r="AS9" s="9">
        <v>-2.1</v>
      </c>
      <c r="AT9" s="9">
        <v>-2</v>
      </c>
      <c r="AU9" s="9">
        <v>-1.7</v>
      </c>
      <c r="AV9" s="9">
        <v>-1.5</v>
      </c>
      <c r="AW9" s="9">
        <v>-1.3</v>
      </c>
      <c r="AX9" s="9">
        <v>-1.1000000000000001</v>
      </c>
      <c r="AY9" s="9">
        <v>-0.9</v>
      </c>
      <c r="AZ9" s="9">
        <v>-0.7</v>
      </c>
      <c r="BA9" s="9">
        <v>-0.7</v>
      </c>
      <c r="BB9" s="9">
        <v>-0.7</v>
      </c>
      <c r="BC9" s="9">
        <v>-0.8</v>
      </c>
      <c r="BD9" s="9">
        <v>-0.8</v>
      </c>
      <c r="BE9" s="9">
        <v>-0.9</v>
      </c>
      <c r="BF9" s="9">
        <v>-1.1000000000000001</v>
      </c>
      <c r="BG9" s="9">
        <v>-1.1000000000000001</v>
      </c>
      <c r="BH9" s="9">
        <v>-1.3</v>
      </c>
      <c r="BI9" s="9">
        <v>-1.3</v>
      </c>
      <c r="BJ9" s="9">
        <v>-1.4</v>
      </c>
      <c r="BK9" s="9">
        <v>-1.4</v>
      </c>
      <c r="BL9" s="9">
        <v>-1.5</v>
      </c>
      <c r="BM9" s="9">
        <v>-1.5</v>
      </c>
      <c r="BN9" s="9">
        <v>-1.6</v>
      </c>
      <c r="BO9" s="9">
        <v>-1.7</v>
      </c>
      <c r="BP9" s="9">
        <v>-1.8</v>
      </c>
      <c r="BQ9" s="9">
        <v>-1.7</v>
      </c>
      <c r="BR9" s="9">
        <v>-1.8</v>
      </c>
      <c r="BS9" s="9">
        <v>-1.8</v>
      </c>
      <c r="BT9" s="9">
        <v>-2</v>
      </c>
      <c r="BU9" s="9">
        <v>-1.9</v>
      </c>
      <c r="BV9" s="9">
        <v>-2</v>
      </c>
      <c r="BW9" s="9">
        <v>-2.1</v>
      </c>
      <c r="BX9" s="9">
        <v>-2.2000000000000002</v>
      </c>
      <c r="BY9" s="9">
        <v>-2.2000000000000002</v>
      </c>
      <c r="BZ9" s="9">
        <v>-2.2999999999999998</v>
      </c>
      <c r="CA9" s="9"/>
      <c r="CB9" s="9"/>
      <c r="CC9" s="9"/>
      <c r="CD9" s="9"/>
      <c r="CE9" s="9"/>
    </row>
    <row r="10" spans="1:83">
      <c r="A10" s="2" t="s">
        <v>69</v>
      </c>
      <c r="B10" s="2" t="s">
        <v>15</v>
      </c>
      <c r="C10" s="9"/>
      <c r="D10" s="9"/>
      <c r="E10" s="9"/>
      <c r="F10" s="9"/>
      <c r="G10" s="9"/>
      <c r="H10" s="9"/>
      <c r="I10" s="9"/>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c r="AK10" s="9"/>
      <c r="AL10" s="9"/>
      <c r="AM10" s="9">
        <v>-1.4</v>
      </c>
      <c r="AN10" s="9">
        <v>0.2</v>
      </c>
      <c r="AO10" s="9">
        <v>-0.5</v>
      </c>
      <c r="AP10" s="9">
        <v>-1.3</v>
      </c>
      <c r="AQ10" s="9">
        <v>-1.3</v>
      </c>
      <c r="AR10" s="9">
        <v>-1</v>
      </c>
      <c r="AS10" s="9">
        <v>-0.9</v>
      </c>
      <c r="AT10" s="9">
        <v>-0.8</v>
      </c>
      <c r="AU10" s="9">
        <v>-0.7</v>
      </c>
      <c r="AV10" s="9">
        <v>-0.7</v>
      </c>
      <c r="AW10" s="9">
        <v>-0.6</v>
      </c>
      <c r="AX10" s="9">
        <v>-0.5</v>
      </c>
      <c r="AY10" s="9">
        <v>-0.2</v>
      </c>
      <c r="AZ10" s="9">
        <v>-0.1</v>
      </c>
      <c r="BA10" s="9">
        <v>-0.3</v>
      </c>
      <c r="BB10" s="9">
        <v>-0.2</v>
      </c>
      <c r="BC10" s="9">
        <v>-0.3</v>
      </c>
      <c r="BD10" s="9">
        <v>-0.3</v>
      </c>
      <c r="BE10" s="9">
        <v>-0.3</v>
      </c>
      <c r="BF10" s="9">
        <v>-0.5</v>
      </c>
      <c r="BG10" s="9">
        <v>-0.4</v>
      </c>
      <c r="BH10" s="9">
        <v>-0.5</v>
      </c>
      <c r="BI10" s="9">
        <v>-0.5</v>
      </c>
      <c r="BJ10" s="9">
        <v>-0.6</v>
      </c>
      <c r="BK10" s="9">
        <v>-0.6</v>
      </c>
      <c r="BL10" s="9">
        <v>-0.7</v>
      </c>
      <c r="BM10" s="9">
        <v>-0.8</v>
      </c>
      <c r="BN10" s="9">
        <v>-0.9</v>
      </c>
      <c r="BO10" s="9">
        <v>-1.1000000000000001</v>
      </c>
      <c r="BP10" s="9">
        <v>-1.1000000000000001</v>
      </c>
      <c r="BQ10" s="9">
        <v>-1.1000000000000001</v>
      </c>
      <c r="BR10" s="9">
        <v>-1.2</v>
      </c>
      <c r="BS10" s="9">
        <v>-1.3</v>
      </c>
      <c r="BT10" s="9">
        <v>-1.5</v>
      </c>
      <c r="BU10" s="9">
        <v>-1.5</v>
      </c>
      <c r="BV10" s="9">
        <v>-1.7</v>
      </c>
      <c r="BW10" s="9">
        <v>-1.8</v>
      </c>
      <c r="BX10" s="9">
        <v>-2</v>
      </c>
      <c r="BY10" s="9">
        <v>-2.1</v>
      </c>
      <c r="BZ10" s="9">
        <v>-2.2999999999999998</v>
      </c>
      <c r="CA10" s="9">
        <v>-2.4</v>
      </c>
      <c r="CB10" s="9">
        <v>-2.6</v>
      </c>
      <c r="CC10" s="9"/>
      <c r="CD10" s="9"/>
      <c r="CE10" s="9"/>
    </row>
    <row r="11" spans="1:83">
      <c r="A11" s="2" t="s">
        <v>70</v>
      </c>
      <c r="B11" s="2" t="s">
        <v>15</v>
      </c>
      <c r="C11" s="9"/>
      <c r="D11" s="9"/>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9"/>
      <c r="AP11" s="9">
        <v>-0.4</v>
      </c>
      <c r="AQ11" s="9">
        <v>-1</v>
      </c>
      <c r="AR11" s="9">
        <v>-1</v>
      </c>
      <c r="AS11" s="9">
        <v>-1</v>
      </c>
      <c r="AT11" s="9">
        <v>-1</v>
      </c>
      <c r="AU11" s="9">
        <v>-0.7</v>
      </c>
      <c r="AV11" s="9">
        <v>-0.8</v>
      </c>
      <c r="AW11" s="9">
        <v>-0.5</v>
      </c>
      <c r="AX11" s="9">
        <v>-0.6</v>
      </c>
      <c r="AY11" s="9">
        <v>-0.6</v>
      </c>
      <c r="AZ11" s="9">
        <v>-0.6</v>
      </c>
      <c r="BA11" s="9">
        <v>-0.4</v>
      </c>
      <c r="BB11" s="9">
        <v>-0.3</v>
      </c>
      <c r="BC11" s="9">
        <v>-0.4</v>
      </c>
      <c r="BD11" s="9">
        <v>-0.4</v>
      </c>
      <c r="BE11" s="9">
        <v>-0.4</v>
      </c>
      <c r="BF11" s="9">
        <v>-0.6</v>
      </c>
      <c r="BG11" s="9">
        <v>-0.4</v>
      </c>
      <c r="BH11" s="9">
        <v>-0.4</v>
      </c>
      <c r="BI11" s="9">
        <v>-0.4</v>
      </c>
      <c r="BJ11" s="9">
        <v>-0.4</v>
      </c>
      <c r="BK11" s="9">
        <v>-0.4</v>
      </c>
      <c r="BL11" s="9">
        <v>-0.7</v>
      </c>
      <c r="BM11" s="9">
        <v>-0.5</v>
      </c>
      <c r="BN11" s="9">
        <v>-0.5</v>
      </c>
      <c r="BO11" s="9">
        <v>-0.7</v>
      </c>
      <c r="BP11" s="9">
        <v>-0.7</v>
      </c>
      <c r="BQ11" s="9">
        <v>-0.6</v>
      </c>
      <c r="BR11" s="9">
        <v>-0.7</v>
      </c>
      <c r="BS11" s="9">
        <v>-0.7</v>
      </c>
      <c r="BT11" s="9">
        <v>-0.8</v>
      </c>
      <c r="BU11" s="9">
        <v>-0.8</v>
      </c>
      <c r="BV11" s="9">
        <v>-0.9</v>
      </c>
      <c r="BW11" s="9">
        <v>-0.9</v>
      </c>
      <c r="BX11" s="9">
        <v>-1</v>
      </c>
      <c r="BY11" s="9">
        <v>-1.1000000000000001</v>
      </c>
      <c r="BZ11" s="9">
        <v>-1.2</v>
      </c>
      <c r="CA11" s="9">
        <v>-1.3</v>
      </c>
      <c r="CB11" s="9">
        <v>-1.4</v>
      </c>
      <c r="CC11" s="9">
        <v>-1.5</v>
      </c>
      <c r="CD11" s="9">
        <v>-1.6</v>
      </c>
      <c r="CE11" s="9">
        <v>-1.8</v>
      </c>
    </row>
    <row r="12" spans="1:83">
      <c r="C12" s="9"/>
      <c r="D12" s="9"/>
      <c r="E12" s="9"/>
      <c r="F12" s="9"/>
      <c r="G12" s="9"/>
      <c r="H12" s="9"/>
      <c r="I12" s="9"/>
      <c r="J12" s="9"/>
      <c r="K12" s="9"/>
      <c r="L12" s="9"/>
      <c r="M12" s="9"/>
      <c r="N12" s="9"/>
      <c r="O12" s="9"/>
      <c r="P12" s="9"/>
      <c r="Q12" s="9"/>
      <c r="R12" s="9"/>
      <c r="S12" s="9"/>
      <c r="T12" s="9"/>
      <c r="U12" s="9"/>
      <c r="V12" s="9"/>
      <c r="W12" s="9"/>
      <c r="X12" s="9"/>
      <c r="Y12" s="9"/>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c r="BA12" s="9"/>
      <c r="BB12" s="9"/>
      <c r="BC12" s="9"/>
      <c r="BD12" s="9"/>
      <c r="BE12" s="9"/>
      <c r="BF12" s="9"/>
      <c r="BG12" s="9"/>
      <c r="BH12" s="9"/>
      <c r="BI12" s="9"/>
      <c r="BJ12" s="9"/>
      <c r="BK12" s="9"/>
      <c r="BL12" s="9"/>
      <c r="BM12" s="9"/>
      <c r="BN12" s="9"/>
      <c r="BO12" s="9"/>
      <c r="BP12" s="9"/>
      <c r="BQ12" s="9"/>
      <c r="BR12" s="9"/>
      <c r="BS12" s="9"/>
      <c r="BT12" s="9"/>
      <c r="BU12" s="9"/>
      <c r="BV12" s="9"/>
      <c r="BW12" s="9"/>
      <c r="BX12" s="9"/>
      <c r="BY12" s="9"/>
      <c r="BZ12" s="9"/>
      <c r="CA12" s="9"/>
      <c r="CB12" s="9"/>
      <c r="CC12" s="9"/>
      <c r="CD12" s="9"/>
      <c r="CE12" s="9"/>
    </row>
    <row r="13" spans="1:83">
      <c r="A13" s="27" t="s">
        <v>204</v>
      </c>
    </row>
    <row r="14" spans="1:83">
      <c r="A14" s="10"/>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47ADED-B0A8-450B-9DFA-0963DE7C2002}">
  <dimension ref="A1:E28"/>
  <sheetViews>
    <sheetView workbookViewId="0"/>
  </sheetViews>
  <sheetFormatPr defaultColWidth="9.1796875" defaultRowHeight="14.5"/>
  <cols>
    <col min="1" max="1" width="29.26953125" style="2" customWidth="1"/>
    <col min="2" max="3" width="14.81640625" style="2" customWidth="1"/>
    <col min="4" max="4" width="59.453125" style="2" customWidth="1"/>
    <col min="5" max="5" width="9.7265625" style="2" customWidth="1"/>
    <col min="6" max="11" width="9.453125" style="2" customWidth="1"/>
    <col min="12" max="16384" width="9.1796875" style="2"/>
  </cols>
  <sheetData>
    <row r="1" spans="1:5" ht="16">
      <c r="A1" s="28" t="s">
        <v>149</v>
      </c>
      <c r="B1" s="29"/>
      <c r="C1" s="29"/>
      <c r="D1" s="29"/>
      <c r="E1" s="5"/>
    </row>
    <row r="2" spans="1:5" ht="14.5" customHeight="1" thickBot="1">
      <c r="A2" s="28"/>
      <c r="B2" s="29"/>
      <c r="C2" s="29"/>
      <c r="D2" s="29"/>
      <c r="E2" s="5"/>
    </row>
    <row r="3" spans="1:5" ht="14.5" customHeight="1">
      <c r="A3" s="84" t="s">
        <v>0</v>
      </c>
      <c r="B3" s="133" t="s">
        <v>123</v>
      </c>
      <c r="C3" s="133"/>
      <c r="D3" s="85" t="s">
        <v>68</v>
      </c>
      <c r="E3" s="5"/>
    </row>
    <row r="4" spans="1:5" ht="14.5" customHeight="1" thickBot="1">
      <c r="A4" s="86"/>
      <c r="B4" s="87" t="s">
        <v>69</v>
      </c>
      <c r="C4" s="87" t="s">
        <v>70</v>
      </c>
      <c r="D4" s="87" t="s">
        <v>71</v>
      </c>
      <c r="E4" s="5"/>
    </row>
    <row r="5" spans="1:5" ht="91.5" thickBot="1">
      <c r="A5" s="44" t="s">
        <v>144</v>
      </c>
      <c r="B5" s="45">
        <v>63.8</v>
      </c>
      <c r="C5" s="45">
        <v>64.7</v>
      </c>
      <c r="D5" s="46" t="s">
        <v>207</v>
      </c>
      <c r="E5" s="5"/>
    </row>
    <row r="6" spans="1:5" ht="26.5" thickBot="1">
      <c r="A6" s="47" t="s">
        <v>72</v>
      </c>
      <c r="B6" s="48">
        <v>1.2</v>
      </c>
      <c r="C6" s="48">
        <v>1.2</v>
      </c>
      <c r="D6" s="46" t="s">
        <v>124</v>
      </c>
      <c r="E6" s="5"/>
    </row>
    <row r="7" spans="1:5" ht="55.5" customHeight="1">
      <c r="A7" s="141" t="s">
        <v>126</v>
      </c>
      <c r="B7" s="134">
        <v>1.1000000000000001</v>
      </c>
      <c r="C7" s="134">
        <v>0.9</v>
      </c>
      <c r="D7" s="137" t="s">
        <v>145</v>
      </c>
      <c r="E7" s="5"/>
    </row>
    <row r="8" spans="1:5" ht="16">
      <c r="A8" s="142"/>
      <c r="B8" s="135"/>
      <c r="C8" s="135"/>
      <c r="D8" s="138"/>
      <c r="E8" s="5"/>
    </row>
    <row r="9" spans="1:5" ht="27.65" customHeight="1" thickBot="1">
      <c r="A9" s="143"/>
      <c r="B9" s="136"/>
      <c r="C9" s="136"/>
      <c r="D9" s="139"/>
      <c r="E9" s="5"/>
    </row>
    <row r="10" spans="1:5" ht="15.65" customHeight="1">
      <c r="A10" s="141" t="s">
        <v>127</v>
      </c>
      <c r="B10" s="134">
        <v>1.62</v>
      </c>
      <c r="C10" s="134">
        <v>1.34</v>
      </c>
      <c r="D10" s="137" t="s">
        <v>146</v>
      </c>
      <c r="E10" s="5"/>
    </row>
    <row r="11" spans="1:5" ht="16">
      <c r="A11" s="142"/>
      <c r="B11" s="135"/>
      <c r="C11" s="135"/>
      <c r="D11" s="138"/>
      <c r="E11" s="5"/>
    </row>
    <row r="12" spans="1:5" ht="39" customHeight="1" thickBot="1">
      <c r="A12" s="143"/>
      <c r="B12" s="136"/>
      <c r="C12" s="136"/>
      <c r="D12" s="139"/>
      <c r="E12" s="5"/>
    </row>
    <row r="13" spans="1:5" ht="22.15" customHeight="1">
      <c r="A13" s="141" t="s">
        <v>128</v>
      </c>
      <c r="B13" s="130">
        <v>332000</v>
      </c>
      <c r="C13" s="130">
        <v>348000</v>
      </c>
      <c r="D13" s="137" t="s">
        <v>125</v>
      </c>
      <c r="E13" s="5"/>
    </row>
    <row r="14" spans="1:5" ht="16">
      <c r="A14" s="142"/>
      <c r="B14" s="131"/>
      <c r="C14" s="131"/>
      <c r="D14" s="138"/>
      <c r="E14" s="5"/>
    </row>
    <row r="15" spans="1:5" ht="25.9" customHeight="1" thickBot="1">
      <c r="A15" s="143"/>
      <c r="B15" s="132"/>
      <c r="C15" s="132"/>
      <c r="D15" s="139"/>
      <c r="E15" s="5"/>
    </row>
    <row r="16" spans="1:5" ht="14.5" customHeight="1">
      <c r="A16" s="141" t="s">
        <v>148</v>
      </c>
      <c r="B16" s="130">
        <v>235000</v>
      </c>
      <c r="C16" s="130">
        <v>235000</v>
      </c>
      <c r="D16" s="151" t="s">
        <v>129</v>
      </c>
      <c r="E16" s="5"/>
    </row>
    <row r="17" spans="1:5" ht="14.5" customHeight="1">
      <c r="A17" s="142"/>
      <c r="B17" s="131"/>
      <c r="C17" s="131"/>
      <c r="D17" s="152"/>
      <c r="E17" s="5"/>
    </row>
    <row r="18" spans="1:5" ht="55.5" customHeight="1" thickBot="1">
      <c r="A18" s="143"/>
      <c r="B18" s="132"/>
      <c r="C18" s="132"/>
      <c r="D18" s="153"/>
      <c r="E18" s="5"/>
    </row>
    <row r="19" spans="1:5" ht="48" customHeight="1">
      <c r="A19" s="148" t="s">
        <v>130</v>
      </c>
      <c r="B19" s="145">
        <v>4.5999999999999996</v>
      </c>
      <c r="C19" s="145">
        <v>4.5</v>
      </c>
      <c r="D19" s="137" t="s">
        <v>208</v>
      </c>
      <c r="E19" s="5"/>
    </row>
    <row r="20" spans="1:5" ht="30" customHeight="1">
      <c r="A20" s="149"/>
      <c r="B20" s="146"/>
      <c r="C20" s="146"/>
      <c r="D20" s="138"/>
      <c r="E20" s="5"/>
    </row>
    <row r="21" spans="1:5" ht="16.5" thickBot="1">
      <c r="A21" s="150"/>
      <c r="B21" s="147"/>
      <c r="C21" s="147"/>
      <c r="D21" s="139"/>
      <c r="E21" s="5"/>
    </row>
    <row r="22" spans="1:5" ht="39.5" thickBot="1">
      <c r="A22" s="88" t="s">
        <v>73</v>
      </c>
      <c r="B22" s="49">
        <v>2.5</v>
      </c>
      <c r="C22" s="49">
        <v>2.5</v>
      </c>
      <c r="D22" s="46" t="s">
        <v>147</v>
      </c>
    </row>
    <row r="23" spans="1:5" ht="39.5" thickBot="1">
      <c r="A23" s="88" t="s">
        <v>74</v>
      </c>
      <c r="B23" s="49">
        <v>3.7</v>
      </c>
      <c r="C23" s="49">
        <v>3.7</v>
      </c>
      <c r="D23" s="46" t="s">
        <v>131</v>
      </c>
    </row>
    <row r="24" spans="1:5" ht="65.5" thickBot="1">
      <c r="A24" s="88" t="s">
        <v>75</v>
      </c>
      <c r="B24" s="49" t="s">
        <v>90</v>
      </c>
      <c r="C24" s="49" t="s">
        <v>91</v>
      </c>
      <c r="D24" s="46" t="s">
        <v>132</v>
      </c>
    </row>
    <row r="26" spans="1:5">
      <c r="A26" s="144" t="s">
        <v>150</v>
      </c>
      <c r="B26" s="144"/>
      <c r="C26" s="144"/>
      <c r="D26" s="144"/>
    </row>
    <row r="27" spans="1:5" ht="43.9" customHeight="1">
      <c r="A27" s="140" t="s">
        <v>205</v>
      </c>
      <c r="B27" s="140"/>
      <c r="C27" s="140"/>
      <c r="D27" s="140"/>
    </row>
    <row r="28" spans="1:5" ht="26.5" customHeight="1">
      <c r="A28" s="140" t="s">
        <v>206</v>
      </c>
      <c r="B28" s="140"/>
      <c r="C28" s="140"/>
      <c r="D28" s="140"/>
    </row>
  </sheetData>
  <mergeCells count="24">
    <mergeCell ref="A28:D28"/>
    <mergeCell ref="A7:A9"/>
    <mergeCell ref="A13:A15"/>
    <mergeCell ref="A10:A12"/>
    <mergeCell ref="A26:D26"/>
    <mergeCell ref="A27:D27"/>
    <mergeCell ref="B19:B21"/>
    <mergeCell ref="C19:C21"/>
    <mergeCell ref="D19:D21"/>
    <mergeCell ref="A16:A18"/>
    <mergeCell ref="A19:A21"/>
    <mergeCell ref="D16:D18"/>
    <mergeCell ref="B13:B15"/>
    <mergeCell ref="C13:C15"/>
    <mergeCell ref="D13:D15"/>
    <mergeCell ref="B16:B18"/>
    <mergeCell ref="C16:C18"/>
    <mergeCell ref="B3:C3"/>
    <mergeCell ref="B7:B9"/>
    <mergeCell ref="C7:C9"/>
    <mergeCell ref="D7:D9"/>
    <mergeCell ref="B10:B12"/>
    <mergeCell ref="C10:C12"/>
    <mergeCell ref="D10:D1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9952CD-A8C6-443D-80FD-8E9EEAFCE58E}">
  <dimension ref="A1:AR60"/>
  <sheetViews>
    <sheetView zoomScaleNormal="100" workbookViewId="0">
      <pane xSplit="3" ySplit="3" topLeftCell="D4" activePane="bottomRight" state="frozen"/>
      <selection pane="topRight" activeCell="D1" sqref="D1"/>
      <selection pane="bottomLeft" activeCell="A4" sqref="A4"/>
      <selection pane="bottomRight"/>
    </sheetView>
  </sheetViews>
  <sheetFormatPr defaultColWidth="9.1796875" defaultRowHeight="14.5"/>
  <cols>
    <col min="1" max="2" width="25.7265625" style="2" customWidth="1"/>
    <col min="3" max="3" width="16.7265625" style="2" customWidth="1"/>
    <col min="4" max="14" width="9.7265625" style="2" customWidth="1"/>
    <col min="15" max="16384" width="9.1796875" style="2"/>
  </cols>
  <sheetData>
    <row r="1" spans="1:44" ht="16">
      <c r="A1" s="5" t="s">
        <v>87</v>
      </c>
      <c r="B1" s="5"/>
    </row>
    <row r="2" spans="1:44" ht="16">
      <c r="A2" s="5"/>
      <c r="B2" s="5"/>
    </row>
    <row r="3" spans="1:44">
      <c r="A3" s="6" t="s">
        <v>0</v>
      </c>
      <c r="B3" s="6" t="s">
        <v>12</v>
      </c>
      <c r="C3" s="6" t="s">
        <v>1</v>
      </c>
      <c r="D3" s="7" t="s">
        <v>17</v>
      </c>
      <c r="E3" s="7" t="s">
        <v>13</v>
      </c>
      <c r="F3" s="7" t="s">
        <v>2</v>
      </c>
      <c r="G3" s="7" t="s">
        <v>3</v>
      </c>
      <c r="H3" s="7" t="s">
        <v>4</v>
      </c>
      <c r="I3" s="7" t="s">
        <v>5</v>
      </c>
      <c r="J3" s="7" t="s">
        <v>6</v>
      </c>
      <c r="K3" s="7" t="s">
        <v>7</v>
      </c>
      <c r="L3" s="7" t="s">
        <v>8</v>
      </c>
      <c r="M3" s="7" t="s">
        <v>9</v>
      </c>
      <c r="N3" s="7" t="s">
        <v>10</v>
      </c>
      <c r="O3" s="7" t="s">
        <v>11</v>
      </c>
      <c r="P3" s="7" t="s">
        <v>256</v>
      </c>
      <c r="Q3" s="7" t="s">
        <v>257</v>
      </c>
      <c r="R3" s="7" t="s">
        <v>258</v>
      </c>
      <c r="S3" s="7" t="s">
        <v>259</v>
      </c>
      <c r="T3" s="7" t="s">
        <v>260</v>
      </c>
      <c r="U3" s="7" t="s">
        <v>261</v>
      </c>
      <c r="V3" s="7" t="s">
        <v>262</v>
      </c>
      <c r="W3" s="7" t="s">
        <v>263</v>
      </c>
      <c r="X3" s="7" t="s">
        <v>264</v>
      </c>
      <c r="Y3" s="7" t="s">
        <v>265</v>
      </c>
      <c r="Z3" s="7" t="s">
        <v>266</v>
      </c>
      <c r="AA3" s="7" t="s">
        <v>267</v>
      </c>
      <c r="AB3" s="7" t="s">
        <v>268</v>
      </c>
      <c r="AC3" s="7" t="s">
        <v>269</v>
      </c>
      <c r="AD3" s="7" t="s">
        <v>270</v>
      </c>
      <c r="AE3" s="7" t="s">
        <v>271</v>
      </c>
      <c r="AF3" s="7" t="s">
        <v>272</v>
      </c>
      <c r="AG3" s="7" t="s">
        <v>273</v>
      </c>
      <c r="AH3" s="7" t="s">
        <v>274</v>
      </c>
      <c r="AI3" s="7" t="s">
        <v>275</v>
      </c>
      <c r="AJ3" s="7" t="s">
        <v>276</v>
      </c>
      <c r="AK3" s="7" t="s">
        <v>277</v>
      </c>
      <c r="AL3" s="7" t="s">
        <v>278</v>
      </c>
      <c r="AM3" s="7" t="s">
        <v>279</v>
      </c>
      <c r="AN3" s="7" t="s">
        <v>280</v>
      </c>
      <c r="AO3" s="7" t="s">
        <v>281</v>
      </c>
      <c r="AP3" s="7" t="s">
        <v>282</v>
      </c>
      <c r="AQ3" s="7" t="s">
        <v>283</v>
      </c>
      <c r="AR3" s="7" t="s">
        <v>284</v>
      </c>
    </row>
    <row r="4" spans="1:44">
      <c r="A4" s="2" t="s">
        <v>14</v>
      </c>
      <c r="B4" s="2" t="s">
        <v>34</v>
      </c>
      <c r="C4" s="2" t="s">
        <v>15</v>
      </c>
      <c r="D4" s="127">
        <v>33.1</v>
      </c>
      <c r="E4" s="127">
        <v>34</v>
      </c>
      <c r="F4" s="9">
        <v>35.200000000000003</v>
      </c>
      <c r="G4" s="9">
        <v>35.799999999999997</v>
      </c>
      <c r="H4" s="9">
        <v>35.6</v>
      </c>
      <c r="I4" s="9">
        <v>35.4</v>
      </c>
      <c r="J4" s="9">
        <v>34.700000000000003</v>
      </c>
      <c r="K4" s="9">
        <v>33.799999999999997</v>
      </c>
      <c r="L4" s="9">
        <v>33</v>
      </c>
      <c r="M4" s="9">
        <v>32.200000000000003</v>
      </c>
      <c r="N4" s="9">
        <v>31.4</v>
      </c>
      <c r="O4" s="9">
        <v>30.3</v>
      </c>
      <c r="P4" s="9">
        <v>29.6</v>
      </c>
      <c r="Q4" s="9">
        <v>28.7</v>
      </c>
      <c r="R4" s="9">
        <v>28</v>
      </c>
      <c r="S4" s="9">
        <v>27.3</v>
      </c>
      <c r="T4" s="9">
        <v>26.6</v>
      </c>
      <c r="U4" s="9">
        <v>26</v>
      </c>
      <c r="V4" s="9">
        <v>25.4</v>
      </c>
      <c r="W4" s="9">
        <v>24.9</v>
      </c>
      <c r="X4" s="9">
        <v>24.4</v>
      </c>
      <c r="Y4" s="9">
        <v>24.1</v>
      </c>
      <c r="Z4" s="9">
        <v>23.7</v>
      </c>
      <c r="AA4" s="9">
        <v>23.5</v>
      </c>
      <c r="AB4" s="9">
        <v>23.4</v>
      </c>
      <c r="AC4" s="9">
        <v>23.2</v>
      </c>
      <c r="AD4" s="9">
        <v>23.2</v>
      </c>
      <c r="AE4" s="9">
        <v>23.2</v>
      </c>
      <c r="AF4" s="9">
        <v>23.3</v>
      </c>
      <c r="AG4" s="9">
        <v>23.5</v>
      </c>
      <c r="AH4" s="9">
        <v>23.7</v>
      </c>
      <c r="AI4" s="9">
        <v>24.1</v>
      </c>
      <c r="AJ4" s="9">
        <v>24.5</v>
      </c>
      <c r="AK4" s="9">
        <v>25</v>
      </c>
      <c r="AL4" s="9">
        <v>25.7</v>
      </c>
      <c r="AM4" s="9">
        <v>26.4</v>
      </c>
      <c r="AN4" s="9">
        <v>27.3</v>
      </c>
      <c r="AO4" s="9">
        <v>28.4</v>
      </c>
      <c r="AP4" s="9">
        <v>29.5</v>
      </c>
      <c r="AQ4" s="9">
        <v>30.8</v>
      </c>
      <c r="AR4" s="9">
        <v>32.200000000000003</v>
      </c>
    </row>
    <row r="5" spans="1:44">
      <c r="A5" s="2" t="s">
        <v>14</v>
      </c>
      <c r="B5" s="2" t="s">
        <v>36</v>
      </c>
      <c r="C5" s="2" t="s">
        <v>15</v>
      </c>
      <c r="D5" s="127">
        <v>33.1</v>
      </c>
      <c r="E5" s="127">
        <v>34</v>
      </c>
      <c r="F5" s="9">
        <v>35.200000000000003</v>
      </c>
      <c r="G5" s="9">
        <v>35.799999999999997</v>
      </c>
      <c r="H5" s="9">
        <v>35.6</v>
      </c>
      <c r="I5" s="9">
        <v>35.4</v>
      </c>
      <c r="J5" s="9">
        <v>34.700000000000003</v>
      </c>
      <c r="K5" s="9">
        <v>33.700000000000003</v>
      </c>
      <c r="L5" s="9">
        <v>33</v>
      </c>
      <c r="M5" s="9">
        <v>32.1</v>
      </c>
      <c r="N5" s="9">
        <v>31.3</v>
      </c>
      <c r="O5" s="9">
        <v>30.2</v>
      </c>
      <c r="P5" s="9">
        <v>29.4</v>
      </c>
      <c r="Q5" s="9">
        <v>28.5</v>
      </c>
      <c r="R5" s="9">
        <v>27.7</v>
      </c>
      <c r="S5" s="9">
        <v>27</v>
      </c>
      <c r="T5" s="9">
        <v>26.3</v>
      </c>
      <c r="U5" s="9">
        <v>25.7</v>
      </c>
      <c r="V5" s="9">
        <v>25.1</v>
      </c>
      <c r="W5" s="9">
        <v>24.5</v>
      </c>
      <c r="X5" s="9">
        <v>24</v>
      </c>
      <c r="Y5" s="9">
        <v>23.6</v>
      </c>
      <c r="Z5" s="9">
        <v>23.2</v>
      </c>
      <c r="AA5" s="9">
        <v>22.9</v>
      </c>
      <c r="AB5" s="9">
        <v>22.7</v>
      </c>
      <c r="AC5" s="9">
        <v>22.5</v>
      </c>
      <c r="AD5" s="9">
        <v>22.4</v>
      </c>
      <c r="AE5" s="9">
        <v>22.3</v>
      </c>
      <c r="AF5" s="9">
        <v>22.2</v>
      </c>
      <c r="AG5" s="9">
        <v>22.3</v>
      </c>
      <c r="AH5" s="9">
        <v>22.3</v>
      </c>
      <c r="AI5" s="9">
        <v>22.4</v>
      </c>
      <c r="AJ5" s="9">
        <v>22.6</v>
      </c>
      <c r="AK5" s="9">
        <v>22.9</v>
      </c>
      <c r="AL5" s="9">
        <v>23.3</v>
      </c>
      <c r="AM5" s="9">
        <v>23.7</v>
      </c>
      <c r="AN5" s="9">
        <v>24.2</v>
      </c>
      <c r="AO5" s="9">
        <v>24.9</v>
      </c>
      <c r="AP5" s="9">
        <v>25.6</v>
      </c>
      <c r="AQ5" s="9">
        <v>26.4</v>
      </c>
      <c r="AR5" s="9">
        <v>27.4</v>
      </c>
    </row>
    <row r="6" spans="1:44">
      <c r="A6" s="2" t="s">
        <v>14</v>
      </c>
      <c r="B6" s="2" t="s">
        <v>38</v>
      </c>
      <c r="C6" s="2" t="s">
        <v>15</v>
      </c>
      <c r="D6" s="127">
        <v>33.1</v>
      </c>
      <c r="E6" s="127">
        <v>34</v>
      </c>
      <c r="F6" s="9">
        <v>35.200000000000003</v>
      </c>
      <c r="G6" s="9">
        <v>35.799999999999997</v>
      </c>
      <c r="H6" s="9">
        <v>35.6</v>
      </c>
      <c r="I6" s="9">
        <v>35.4</v>
      </c>
      <c r="J6" s="9">
        <v>34.700000000000003</v>
      </c>
      <c r="K6" s="9">
        <v>33.799999999999997</v>
      </c>
      <c r="L6" s="9">
        <v>33</v>
      </c>
      <c r="M6" s="9">
        <v>32.1</v>
      </c>
      <c r="N6" s="9">
        <v>31.3</v>
      </c>
      <c r="O6" s="9">
        <v>30.1</v>
      </c>
      <c r="P6" s="9">
        <v>29.3</v>
      </c>
      <c r="Q6" s="9">
        <v>28.3</v>
      </c>
      <c r="R6" s="9">
        <v>27.5</v>
      </c>
      <c r="S6" s="9">
        <v>26.8</v>
      </c>
      <c r="T6" s="9">
        <v>26</v>
      </c>
      <c r="U6" s="9">
        <v>25.3</v>
      </c>
      <c r="V6" s="9">
        <v>24.7</v>
      </c>
      <c r="W6" s="9">
        <v>24.1</v>
      </c>
      <c r="X6" s="9">
        <v>23.5</v>
      </c>
      <c r="Y6" s="9">
        <v>23</v>
      </c>
      <c r="Z6" s="9">
        <v>22.6</v>
      </c>
      <c r="AA6" s="9">
        <v>22.3</v>
      </c>
      <c r="AB6" s="9">
        <v>22</v>
      </c>
      <c r="AC6" s="9">
        <v>21.7</v>
      </c>
      <c r="AD6" s="9">
        <v>21.5</v>
      </c>
      <c r="AE6" s="9">
        <v>21.3</v>
      </c>
      <c r="AF6" s="9">
        <v>21.1</v>
      </c>
      <c r="AG6" s="9">
        <v>21</v>
      </c>
      <c r="AH6" s="9">
        <v>20.9</v>
      </c>
      <c r="AI6" s="9">
        <v>20.8</v>
      </c>
      <c r="AJ6" s="9">
        <v>20.8</v>
      </c>
      <c r="AK6" s="9">
        <v>20.8</v>
      </c>
      <c r="AL6" s="9">
        <v>20.9</v>
      </c>
      <c r="AM6" s="9">
        <v>21.1</v>
      </c>
      <c r="AN6" s="9">
        <v>21.3</v>
      </c>
      <c r="AO6" s="9">
        <v>21.6</v>
      </c>
      <c r="AP6" s="9">
        <v>21.9</v>
      </c>
      <c r="AQ6" s="9">
        <v>22.4</v>
      </c>
      <c r="AR6" s="9">
        <v>22.9</v>
      </c>
    </row>
    <row r="8" spans="1:44">
      <c r="A8" s="27" t="s">
        <v>209</v>
      </c>
      <c r="B8" s="10"/>
    </row>
    <row r="9" spans="1:44">
      <c r="A9" s="10"/>
      <c r="B9" s="17"/>
      <c r="C9" s="17"/>
      <c r="D9" s="17"/>
      <c r="E9" s="17"/>
      <c r="F9" s="17"/>
      <c r="G9" s="17"/>
      <c r="H9" s="17"/>
      <c r="I9" s="17"/>
      <c r="J9" s="17"/>
      <c r="K9" s="17"/>
      <c r="L9" s="17"/>
      <c r="M9" s="17"/>
      <c r="N9" s="17"/>
    </row>
    <row r="10" spans="1:44" ht="30" customHeight="1">
      <c r="A10" s="17"/>
      <c r="B10" s="17"/>
      <c r="C10" s="17"/>
      <c r="D10" s="17"/>
      <c r="E10" s="17"/>
      <c r="F10" s="17"/>
      <c r="G10" s="17"/>
      <c r="H10" s="17"/>
      <c r="I10" s="17"/>
      <c r="J10" s="17"/>
      <c r="K10" s="17"/>
      <c r="L10" s="17"/>
      <c r="M10" s="17"/>
      <c r="N10" s="17"/>
    </row>
    <row r="20" spans="1:3">
      <c r="A20" s="9"/>
      <c r="B20" s="9"/>
      <c r="C20" s="9"/>
    </row>
    <row r="21" spans="1:3">
      <c r="A21" s="9"/>
      <c r="B21" s="9"/>
      <c r="C21" s="9"/>
    </row>
    <row r="22" spans="1:3">
      <c r="A22" s="9"/>
      <c r="B22" s="9"/>
      <c r="C22" s="9"/>
    </row>
    <row r="23" spans="1:3">
      <c r="A23" s="9"/>
      <c r="B23" s="9"/>
      <c r="C23" s="9"/>
    </row>
    <row r="24" spans="1:3">
      <c r="A24" s="9"/>
      <c r="B24" s="9"/>
      <c r="C24" s="9"/>
    </row>
    <row r="25" spans="1:3">
      <c r="A25" s="9"/>
      <c r="B25" s="9"/>
      <c r="C25" s="9"/>
    </row>
    <row r="26" spans="1:3">
      <c r="A26" s="9"/>
      <c r="B26" s="9"/>
      <c r="C26" s="9"/>
    </row>
    <row r="27" spans="1:3">
      <c r="A27" s="9"/>
      <c r="B27" s="9"/>
      <c r="C27" s="9"/>
    </row>
    <row r="28" spans="1:3">
      <c r="A28" s="9"/>
      <c r="B28" s="9"/>
      <c r="C28" s="9"/>
    </row>
    <row r="29" spans="1:3">
      <c r="A29" s="9"/>
      <c r="B29" s="9"/>
      <c r="C29" s="9"/>
    </row>
    <row r="30" spans="1:3">
      <c r="A30" s="9"/>
      <c r="B30" s="9"/>
      <c r="C30" s="9"/>
    </row>
    <row r="31" spans="1:3">
      <c r="A31" s="9"/>
      <c r="B31" s="9"/>
      <c r="C31" s="9"/>
    </row>
    <row r="32" spans="1:3">
      <c r="A32" s="9"/>
      <c r="B32" s="9"/>
      <c r="C32" s="9"/>
    </row>
    <row r="33" spans="1:3">
      <c r="A33" s="9"/>
      <c r="B33" s="9"/>
      <c r="C33" s="9"/>
    </row>
    <row r="34" spans="1:3">
      <c r="A34" s="9"/>
      <c r="B34" s="9"/>
      <c r="C34" s="9"/>
    </row>
    <row r="35" spans="1:3">
      <c r="A35" s="9"/>
      <c r="B35" s="9"/>
      <c r="C35" s="9"/>
    </row>
    <row r="36" spans="1:3">
      <c r="A36" s="9"/>
      <c r="B36" s="9"/>
      <c r="C36" s="9"/>
    </row>
    <row r="37" spans="1:3">
      <c r="A37" s="9"/>
      <c r="B37" s="9"/>
      <c r="C37" s="9"/>
    </row>
    <row r="38" spans="1:3">
      <c r="A38" s="9"/>
      <c r="B38" s="9"/>
      <c r="C38" s="9"/>
    </row>
    <row r="39" spans="1:3">
      <c r="A39" s="9"/>
      <c r="B39" s="9"/>
      <c r="C39" s="9"/>
    </row>
    <row r="40" spans="1:3">
      <c r="A40" s="9"/>
      <c r="B40" s="9"/>
      <c r="C40" s="9"/>
    </row>
    <row r="41" spans="1:3">
      <c r="A41" s="9"/>
      <c r="B41" s="9"/>
      <c r="C41" s="9"/>
    </row>
    <row r="42" spans="1:3">
      <c r="A42" s="9"/>
      <c r="B42" s="9"/>
      <c r="C42" s="9"/>
    </row>
    <row r="43" spans="1:3">
      <c r="A43" s="9"/>
      <c r="B43" s="9"/>
      <c r="C43" s="9"/>
    </row>
    <row r="44" spans="1:3">
      <c r="A44" s="9"/>
      <c r="B44" s="9"/>
      <c r="C44" s="9"/>
    </row>
    <row r="45" spans="1:3">
      <c r="A45" s="9"/>
      <c r="B45" s="9"/>
      <c r="C45" s="9"/>
    </row>
    <row r="46" spans="1:3">
      <c r="A46" s="9"/>
      <c r="B46" s="9"/>
      <c r="C46" s="9"/>
    </row>
    <row r="47" spans="1:3">
      <c r="A47" s="9"/>
      <c r="B47" s="9"/>
      <c r="C47" s="9"/>
    </row>
    <row r="48" spans="1:3">
      <c r="A48" s="9"/>
      <c r="B48" s="9"/>
      <c r="C48" s="9"/>
    </row>
    <row r="49" spans="1:3">
      <c r="A49" s="9"/>
      <c r="B49" s="9"/>
      <c r="C49" s="9"/>
    </row>
    <row r="50" spans="1:3">
      <c r="A50" s="9"/>
      <c r="B50" s="9"/>
      <c r="C50" s="9"/>
    </row>
    <row r="51" spans="1:3">
      <c r="A51" s="9"/>
      <c r="B51" s="9"/>
      <c r="C51" s="9"/>
    </row>
    <row r="52" spans="1:3">
      <c r="A52" s="9"/>
      <c r="B52" s="9"/>
      <c r="C52" s="9"/>
    </row>
    <row r="53" spans="1:3">
      <c r="A53" s="9"/>
      <c r="B53" s="9"/>
      <c r="C53" s="9"/>
    </row>
    <row r="54" spans="1:3">
      <c r="A54" s="9"/>
      <c r="B54" s="9"/>
      <c r="C54" s="9"/>
    </row>
    <row r="55" spans="1:3">
      <c r="A55" s="9"/>
      <c r="B55" s="9"/>
      <c r="C55" s="9"/>
    </row>
    <row r="56" spans="1:3">
      <c r="A56" s="9"/>
      <c r="B56" s="9"/>
      <c r="C56" s="9"/>
    </row>
    <row r="57" spans="1:3">
      <c r="A57" s="9"/>
      <c r="B57" s="9"/>
      <c r="C57" s="9"/>
    </row>
    <row r="58" spans="1:3">
      <c r="A58" s="9"/>
      <c r="B58" s="9"/>
      <c r="C58" s="9"/>
    </row>
    <row r="59" spans="1:3">
      <c r="A59" s="9"/>
      <c r="B59" s="9"/>
      <c r="C59" s="9"/>
    </row>
    <row r="60" spans="1:3">
      <c r="A60" s="9"/>
      <c r="B60" s="9"/>
      <c r="C60" s="9"/>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841411-C806-45CD-A74A-5E8AD890F91A}">
  <dimension ref="A1:CE9"/>
  <sheetViews>
    <sheetView workbookViewId="0">
      <pane xSplit="2" ySplit="3" topLeftCell="AT4" activePane="bottomRight" state="frozen"/>
      <selection pane="topRight" activeCell="C1" sqref="C1"/>
      <selection pane="bottomLeft" activeCell="A4" sqref="A4"/>
      <selection pane="bottomRight"/>
    </sheetView>
  </sheetViews>
  <sheetFormatPr defaultColWidth="9.1796875" defaultRowHeight="14.5"/>
  <cols>
    <col min="1" max="1" width="25.7265625" style="2" customWidth="1"/>
    <col min="2" max="2" width="16.7265625" style="2" customWidth="1"/>
    <col min="3" max="13" width="9.7265625" style="128" customWidth="1"/>
    <col min="14" max="83" width="9.1796875" style="128"/>
    <col min="84" max="16384" width="9.1796875" style="2"/>
  </cols>
  <sheetData>
    <row r="1" spans="1:83" ht="16">
      <c r="A1" s="5" t="s">
        <v>89</v>
      </c>
    </row>
    <row r="2" spans="1:83" ht="16">
      <c r="A2" s="5"/>
    </row>
    <row r="3" spans="1:83">
      <c r="A3" s="6" t="s">
        <v>0</v>
      </c>
      <c r="B3" s="6" t="s">
        <v>1</v>
      </c>
      <c r="C3" s="7" t="s">
        <v>216</v>
      </c>
      <c r="D3" s="7" t="s">
        <v>217</v>
      </c>
      <c r="E3" s="7" t="s">
        <v>218</v>
      </c>
      <c r="F3" s="7" t="s">
        <v>219</v>
      </c>
      <c r="G3" s="7" t="s">
        <v>220</v>
      </c>
      <c r="H3" s="7" t="s">
        <v>221</v>
      </c>
      <c r="I3" s="7" t="s">
        <v>222</v>
      </c>
      <c r="J3" s="7" t="s">
        <v>223</v>
      </c>
      <c r="K3" s="7" t="s">
        <v>224</v>
      </c>
      <c r="L3" s="7" t="s">
        <v>225</v>
      </c>
      <c r="M3" s="7" t="s">
        <v>226</v>
      </c>
      <c r="N3" s="7" t="s">
        <v>227</v>
      </c>
      <c r="O3" s="7" t="s">
        <v>228</v>
      </c>
      <c r="P3" s="7" t="s">
        <v>229</v>
      </c>
      <c r="Q3" s="7" t="s">
        <v>230</v>
      </c>
      <c r="R3" s="7" t="s">
        <v>231</v>
      </c>
      <c r="S3" s="7" t="s">
        <v>232</v>
      </c>
      <c r="T3" s="7" t="s">
        <v>233</v>
      </c>
      <c r="U3" s="7" t="s">
        <v>234</v>
      </c>
      <c r="V3" s="7" t="s">
        <v>235</v>
      </c>
      <c r="W3" s="7" t="s">
        <v>236</v>
      </c>
      <c r="X3" s="7" t="s">
        <v>237</v>
      </c>
      <c r="Y3" s="7" t="s">
        <v>238</v>
      </c>
      <c r="Z3" s="7" t="s">
        <v>239</v>
      </c>
      <c r="AA3" s="7" t="s">
        <v>240</v>
      </c>
      <c r="AB3" s="7" t="s">
        <v>241</v>
      </c>
      <c r="AC3" s="7" t="s">
        <v>242</v>
      </c>
      <c r="AD3" s="7" t="s">
        <v>243</v>
      </c>
      <c r="AE3" s="7" t="s">
        <v>244</v>
      </c>
      <c r="AF3" s="7" t="s">
        <v>245</v>
      </c>
      <c r="AG3" s="7" t="s">
        <v>246</v>
      </c>
      <c r="AH3" s="7" t="s">
        <v>247</v>
      </c>
      <c r="AI3" s="7" t="s">
        <v>248</v>
      </c>
      <c r="AJ3" s="7" t="s">
        <v>249</v>
      </c>
      <c r="AK3" s="7" t="s">
        <v>250</v>
      </c>
      <c r="AL3" s="7" t="s">
        <v>251</v>
      </c>
      <c r="AM3" s="7" t="s">
        <v>252</v>
      </c>
      <c r="AN3" s="7" t="s">
        <v>253</v>
      </c>
      <c r="AO3" s="7" t="s">
        <v>254</v>
      </c>
      <c r="AP3" s="7" t="s">
        <v>255</v>
      </c>
      <c r="AQ3" s="7" t="s">
        <v>17</v>
      </c>
      <c r="AR3" s="7" t="s">
        <v>13</v>
      </c>
      <c r="AS3" s="7" t="s">
        <v>2</v>
      </c>
      <c r="AT3" s="7" t="s">
        <v>3</v>
      </c>
      <c r="AU3" s="7" t="s">
        <v>4</v>
      </c>
      <c r="AV3" s="7" t="s">
        <v>5</v>
      </c>
      <c r="AW3" s="7" t="s">
        <v>6</v>
      </c>
      <c r="AX3" s="7" t="s">
        <v>7</v>
      </c>
      <c r="AY3" s="7" t="s">
        <v>8</v>
      </c>
      <c r="AZ3" s="7" t="s">
        <v>9</v>
      </c>
      <c r="BA3" s="7" t="s">
        <v>10</v>
      </c>
      <c r="BB3" s="7" t="s">
        <v>11</v>
      </c>
      <c r="BC3" s="7" t="s">
        <v>256</v>
      </c>
      <c r="BD3" s="7" t="s">
        <v>257</v>
      </c>
      <c r="BE3" s="7" t="s">
        <v>258</v>
      </c>
      <c r="BF3" s="7" t="s">
        <v>259</v>
      </c>
      <c r="BG3" s="7" t="s">
        <v>260</v>
      </c>
      <c r="BH3" s="7" t="s">
        <v>261</v>
      </c>
      <c r="BI3" s="7" t="s">
        <v>262</v>
      </c>
      <c r="BJ3" s="7" t="s">
        <v>263</v>
      </c>
      <c r="BK3" s="7" t="s">
        <v>264</v>
      </c>
      <c r="BL3" s="7" t="s">
        <v>265</v>
      </c>
      <c r="BM3" s="7" t="s">
        <v>266</v>
      </c>
      <c r="BN3" s="7" t="s">
        <v>267</v>
      </c>
      <c r="BO3" s="7" t="s">
        <v>268</v>
      </c>
      <c r="BP3" s="7" t="s">
        <v>269</v>
      </c>
      <c r="BQ3" s="7" t="s">
        <v>270</v>
      </c>
      <c r="BR3" s="7" t="s">
        <v>271</v>
      </c>
      <c r="BS3" s="7" t="s">
        <v>272</v>
      </c>
      <c r="BT3" s="7" t="s">
        <v>273</v>
      </c>
      <c r="BU3" s="7" t="s">
        <v>274</v>
      </c>
      <c r="BV3" s="7" t="s">
        <v>275</v>
      </c>
      <c r="BW3" s="7" t="s">
        <v>276</v>
      </c>
      <c r="BX3" s="7" t="s">
        <v>277</v>
      </c>
      <c r="BY3" s="7" t="s">
        <v>278</v>
      </c>
      <c r="BZ3" s="7" t="s">
        <v>279</v>
      </c>
      <c r="CA3" s="7" t="s">
        <v>280</v>
      </c>
      <c r="CB3" s="7" t="s">
        <v>281</v>
      </c>
      <c r="CC3" s="7" t="s">
        <v>282</v>
      </c>
      <c r="CD3" s="7" t="s">
        <v>283</v>
      </c>
      <c r="CE3" s="7" t="s">
        <v>284</v>
      </c>
    </row>
    <row r="4" spans="1:83" s="8" customFormat="1">
      <c r="A4" s="2" t="s">
        <v>82</v>
      </c>
      <c r="B4" s="2" t="s">
        <v>77</v>
      </c>
      <c r="C4" s="129">
        <v>61.4</v>
      </c>
      <c r="D4" s="129">
        <v>61.9</v>
      </c>
      <c r="E4" s="129">
        <v>62.1</v>
      </c>
      <c r="F4" s="129">
        <v>62.6</v>
      </c>
      <c r="G4" s="129">
        <v>63.5</v>
      </c>
      <c r="H4" s="129">
        <v>63.6</v>
      </c>
      <c r="I4" s="129">
        <v>62.9</v>
      </c>
      <c r="J4" s="129">
        <v>62.6</v>
      </c>
      <c r="K4" s="129">
        <v>62.7</v>
      </c>
      <c r="L4" s="129">
        <v>63.2</v>
      </c>
      <c r="M4" s="129">
        <v>63.6</v>
      </c>
      <c r="N4" s="129">
        <v>63.3</v>
      </c>
      <c r="O4" s="129">
        <v>63</v>
      </c>
      <c r="P4" s="129">
        <v>62.8</v>
      </c>
      <c r="Q4" s="129">
        <v>62.9</v>
      </c>
      <c r="R4" s="129">
        <v>63.2</v>
      </c>
      <c r="S4" s="129">
        <v>63.3</v>
      </c>
      <c r="T4" s="129">
        <v>63.6</v>
      </c>
      <c r="U4" s="129">
        <v>63.4</v>
      </c>
      <c r="V4" s="129">
        <v>63.9</v>
      </c>
      <c r="W4" s="129">
        <v>64.5</v>
      </c>
      <c r="X4" s="129">
        <v>65</v>
      </c>
      <c r="Y4" s="129">
        <v>65.400000000000006</v>
      </c>
      <c r="Z4" s="129">
        <v>65.5</v>
      </c>
      <c r="AA4" s="129">
        <v>65.3</v>
      </c>
      <c r="AB4" s="129">
        <v>65.5</v>
      </c>
      <c r="AC4" s="129">
        <v>65.3</v>
      </c>
      <c r="AD4" s="129">
        <v>65.099999999999994</v>
      </c>
      <c r="AE4" s="129">
        <v>64.7</v>
      </c>
      <c r="AF4" s="129">
        <v>64.7</v>
      </c>
      <c r="AG4" s="129">
        <v>65</v>
      </c>
      <c r="AH4" s="129">
        <v>64.7</v>
      </c>
      <c r="AI4" s="129">
        <v>65.3</v>
      </c>
      <c r="AJ4" s="129">
        <v>65.5</v>
      </c>
      <c r="AK4" s="129">
        <v>65.099999999999994</v>
      </c>
      <c r="AL4" s="129">
        <v>65.400000000000006</v>
      </c>
      <c r="AM4" s="129">
        <v>65.7</v>
      </c>
      <c r="AN4" s="129">
        <v>66.5</v>
      </c>
      <c r="AO4" s="129">
        <v>66.7</v>
      </c>
      <c r="AP4" s="129">
        <v>67</v>
      </c>
      <c r="AQ4" s="129">
        <v>66.8</v>
      </c>
      <c r="AR4" s="129"/>
      <c r="AS4" s="129"/>
      <c r="AT4" s="129"/>
      <c r="AU4" s="129"/>
      <c r="AV4" s="129"/>
      <c r="AW4" s="129"/>
      <c r="AX4" s="129"/>
      <c r="AY4" s="129"/>
      <c r="AZ4" s="129"/>
      <c r="BA4" s="129"/>
      <c r="BB4" s="129"/>
      <c r="BC4" s="129"/>
      <c r="BD4" s="129"/>
      <c r="BE4" s="129"/>
      <c r="BF4" s="129"/>
      <c r="BG4" s="129"/>
      <c r="BH4" s="129"/>
      <c r="BI4" s="129"/>
      <c r="BJ4" s="129"/>
      <c r="BK4" s="129"/>
      <c r="BL4" s="129"/>
      <c r="BM4" s="129"/>
      <c r="BN4" s="129"/>
      <c r="BO4" s="129"/>
      <c r="BP4" s="129"/>
      <c r="BQ4" s="129"/>
      <c r="BR4" s="129"/>
      <c r="BS4" s="129"/>
      <c r="BT4" s="129"/>
      <c r="BU4" s="129"/>
      <c r="BV4" s="129"/>
      <c r="BW4" s="129"/>
      <c r="BX4" s="129"/>
      <c r="BY4" s="129"/>
      <c r="BZ4" s="129"/>
      <c r="CA4" s="129"/>
      <c r="CB4" s="129"/>
      <c r="CC4" s="129"/>
      <c r="CD4" s="129"/>
      <c r="CE4" s="129"/>
    </row>
    <row r="5" spans="1:83" s="8" customFormat="1">
      <c r="A5" s="2" t="s">
        <v>69</v>
      </c>
      <c r="B5" s="2" t="s">
        <v>77</v>
      </c>
      <c r="C5" s="129"/>
      <c r="D5" s="129"/>
      <c r="E5" s="129"/>
      <c r="F5" s="129"/>
      <c r="G5" s="129"/>
      <c r="H5" s="129"/>
      <c r="I5" s="129"/>
      <c r="J5" s="129"/>
      <c r="K5" s="129"/>
      <c r="L5" s="129"/>
      <c r="M5" s="129"/>
      <c r="N5" s="129"/>
      <c r="O5" s="129"/>
      <c r="P5" s="129"/>
      <c r="Q5" s="129"/>
      <c r="R5" s="129"/>
      <c r="S5" s="129"/>
      <c r="T5" s="129"/>
      <c r="U5" s="129"/>
      <c r="V5" s="129"/>
      <c r="W5" s="129"/>
      <c r="X5" s="129"/>
      <c r="Y5" s="129"/>
      <c r="Z5" s="129"/>
      <c r="AA5" s="129"/>
      <c r="AB5" s="129"/>
      <c r="AC5" s="129"/>
      <c r="AD5" s="129"/>
      <c r="AE5" s="129"/>
      <c r="AF5" s="129"/>
      <c r="AG5" s="129"/>
      <c r="AH5" s="129"/>
      <c r="AI5" s="129"/>
      <c r="AJ5" s="129"/>
      <c r="AK5" s="129"/>
      <c r="AL5" s="129"/>
      <c r="AM5" s="129"/>
      <c r="AN5" s="129">
        <v>66.599999999999994</v>
      </c>
      <c r="AO5" s="129">
        <v>66.400000000000006</v>
      </c>
      <c r="AP5" s="129">
        <v>66.2</v>
      </c>
      <c r="AQ5" s="129">
        <v>66.099999999999994</v>
      </c>
      <c r="AR5" s="129">
        <v>66.2</v>
      </c>
      <c r="AS5" s="129">
        <v>66.2</v>
      </c>
      <c r="AT5" s="129">
        <v>66.2</v>
      </c>
      <c r="AU5" s="129">
        <v>66.2</v>
      </c>
      <c r="AV5" s="129">
        <v>66.099999999999994</v>
      </c>
      <c r="AW5" s="129">
        <v>66.099999999999994</v>
      </c>
      <c r="AX5" s="129">
        <v>66</v>
      </c>
      <c r="AY5" s="129">
        <v>66</v>
      </c>
      <c r="AZ5" s="129">
        <v>66</v>
      </c>
      <c r="BA5" s="129">
        <v>65.900000000000006</v>
      </c>
      <c r="BB5" s="129">
        <v>65.900000000000006</v>
      </c>
      <c r="BC5" s="129">
        <v>65.900000000000006</v>
      </c>
      <c r="BD5" s="129">
        <v>65.8</v>
      </c>
      <c r="BE5" s="129">
        <v>65.8</v>
      </c>
      <c r="BF5" s="129">
        <v>65.8</v>
      </c>
      <c r="BG5" s="129">
        <v>65.7</v>
      </c>
      <c r="BH5" s="129">
        <v>65.7</v>
      </c>
      <c r="BI5" s="129">
        <v>65.7</v>
      </c>
      <c r="BJ5" s="129">
        <v>65.599999999999994</v>
      </c>
      <c r="BK5" s="129">
        <v>65.599999999999994</v>
      </c>
      <c r="BL5" s="129">
        <v>65.5</v>
      </c>
      <c r="BM5" s="129">
        <v>65.5</v>
      </c>
      <c r="BN5" s="129">
        <v>65.400000000000006</v>
      </c>
      <c r="BO5" s="129">
        <v>65.3</v>
      </c>
      <c r="BP5" s="129">
        <v>65.2</v>
      </c>
      <c r="BQ5" s="129">
        <v>65.099999999999994</v>
      </c>
      <c r="BR5" s="129">
        <v>65</v>
      </c>
      <c r="BS5" s="129">
        <v>64.900000000000006</v>
      </c>
      <c r="BT5" s="129">
        <v>64.8</v>
      </c>
      <c r="BU5" s="129">
        <v>64.7</v>
      </c>
      <c r="BV5" s="129">
        <v>64.5</v>
      </c>
      <c r="BW5" s="129">
        <v>64.400000000000006</v>
      </c>
      <c r="BX5" s="129">
        <v>64.3</v>
      </c>
      <c r="BY5" s="129">
        <v>64.2</v>
      </c>
      <c r="BZ5" s="129">
        <v>64.099999999999994</v>
      </c>
      <c r="CA5" s="129">
        <v>64</v>
      </c>
      <c r="CB5" s="129">
        <v>63.8</v>
      </c>
      <c r="CC5" s="129"/>
      <c r="CD5" s="129"/>
      <c r="CE5" s="129"/>
    </row>
    <row r="6" spans="1:83" s="8" customFormat="1">
      <c r="A6" s="2" t="s">
        <v>70</v>
      </c>
      <c r="B6" s="2" t="s">
        <v>77</v>
      </c>
      <c r="C6" s="129"/>
      <c r="D6" s="129"/>
      <c r="E6" s="129"/>
      <c r="F6" s="129"/>
      <c r="G6" s="129"/>
      <c r="H6" s="129"/>
      <c r="I6" s="129"/>
      <c r="J6" s="129"/>
      <c r="K6" s="129"/>
      <c r="L6" s="129"/>
      <c r="M6" s="129"/>
      <c r="N6" s="129"/>
      <c r="O6" s="129"/>
      <c r="P6" s="129"/>
      <c r="Q6" s="129"/>
      <c r="R6" s="129"/>
      <c r="S6" s="129"/>
      <c r="T6" s="129"/>
      <c r="U6" s="129"/>
      <c r="V6" s="129"/>
      <c r="W6" s="129"/>
      <c r="X6" s="129"/>
      <c r="Y6" s="129"/>
      <c r="Z6" s="129"/>
      <c r="AA6" s="129"/>
      <c r="AB6" s="129"/>
      <c r="AC6" s="129"/>
      <c r="AD6" s="129"/>
      <c r="AE6" s="129"/>
      <c r="AF6" s="129"/>
      <c r="AG6" s="129"/>
      <c r="AH6" s="129"/>
      <c r="AI6" s="129"/>
      <c r="AJ6" s="129"/>
      <c r="AK6" s="129"/>
      <c r="AL6" s="129"/>
      <c r="AM6" s="129"/>
      <c r="AN6" s="129"/>
      <c r="AO6" s="129"/>
      <c r="AP6" s="129"/>
      <c r="AQ6" s="129">
        <v>66.8</v>
      </c>
      <c r="AR6" s="129">
        <v>66.900000000000006</v>
      </c>
      <c r="AS6" s="129">
        <v>67.099999999999994</v>
      </c>
      <c r="AT6" s="129">
        <v>67.2</v>
      </c>
      <c r="AU6" s="129">
        <v>67.400000000000006</v>
      </c>
      <c r="AV6" s="129">
        <v>67.5</v>
      </c>
      <c r="AW6" s="129">
        <v>67.5</v>
      </c>
      <c r="AX6" s="129">
        <v>67.5</v>
      </c>
      <c r="AY6" s="129">
        <v>67.599999999999994</v>
      </c>
      <c r="AZ6" s="129">
        <v>67.599999999999994</v>
      </c>
      <c r="BA6" s="129">
        <v>67.7</v>
      </c>
      <c r="BB6" s="129">
        <v>67.7</v>
      </c>
      <c r="BC6" s="129">
        <v>67.7</v>
      </c>
      <c r="BD6" s="129">
        <v>67.7</v>
      </c>
      <c r="BE6" s="129">
        <v>67.7</v>
      </c>
      <c r="BF6" s="129">
        <v>67.7</v>
      </c>
      <c r="BG6" s="129">
        <v>67.7</v>
      </c>
      <c r="BH6" s="129">
        <v>67.7</v>
      </c>
      <c r="BI6" s="129">
        <v>67.7</v>
      </c>
      <c r="BJ6" s="129">
        <v>67.7</v>
      </c>
      <c r="BK6" s="129">
        <v>67.599999999999994</v>
      </c>
      <c r="BL6" s="129">
        <v>67.5</v>
      </c>
      <c r="BM6" s="129">
        <v>67.400000000000006</v>
      </c>
      <c r="BN6" s="129">
        <v>67.400000000000006</v>
      </c>
      <c r="BO6" s="129">
        <v>67.2</v>
      </c>
      <c r="BP6" s="129">
        <v>67.099999999999994</v>
      </c>
      <c r="BQ6" s="129">
        <v>67</v>
      </c>
      <c r="BR6" s="129">
        <v>66.900000000000006</v>
      </c>
      <c r="BS6" s="129">
        <v>66.7</v>
      </c>
      <c r="BT6" s="129">
        <v>66.599999999999994</v>
      </c>
      <c r="BU6" s="129">
        <v>66.400000000000006</v>
      </c>
      <c r="BV6" s="129">
        <v>66.3</v>
      </c>
      <c r="BW6" s="129">
        <v>66.099999999999994</v>
      </c>
      <c r="BX6" s="129">
        <v>65.900000000000006</v>
      </c>
      <c r="BY6" s="129">
        <v>65.8</v>
      </c>
      <c r="BZ6" s="129">
        <v>65.599999999999994</v>
      </c>
      <c r="CA6" s="129">
        <v>65.400000000000006</v>
      </c>
      <c r="CB6" s="129">
        <v>65.3</v>
      </c>
      <c r="CC6" s="129">
        <v>65.099999999999994</v>
      </c>
      <c r="CD6" s="129">
        <v>64.900000000000006</v>
      </c>
      <c r="CE6" s="129">
        <v>64.7</v>
      </c>
    </row>
    <row r="8" spans="1:83">
      <c r="A8" s="27" t="s">
        <v>210</v>
      </c>
    </row>
    <row r="9" spans="1:83">
      <c r="A9" s="10"/>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1A5519-9D46-4B51-B20C-3B86C55FB409}">
  <dimension ref="A1:AR8"/>
  <sheetViews>
    <sheetView workbookViewId="0">
      <pane xSplit="3" ySplit="3" topLeftCell="I4" activePane="bottomRight" state="frozen"/>
      <selection pane="topRight" activeCell="D1" sqref="D1"/>
      <selection pane="bottomLeft" activeCell="A4" sqref="A4"/>
      <selection pane="bottomRight"/>
    </sheetView>
  </sheetViews>
  <sheetFormatPr defaultColWidth="9.1796875" defaultRowHeight="14.5"/>
  <cols>
    <col min="1" max="2" width="25.7265625" style="2" customWidth="1"/>
    <col min="3" max="3" width="16.7265625" style="2" customWidth="1"/>
    <col min="4" max="14" width="9.7265625" style="2" customWidth="1"/>
    <col min="15" max="16384" width="9.1796875" style="2"/>
  </cols>
  <sheetData>
    <row r="1" spans="1:44" ht="16">
      <c r="A1" s="5" t="s">
        <v>78</v>
      </c>
      <c r="B1" s="5"/>
    </row>
    <row r="2" spans="1:44" ht="16">
      <c r="A2" s="5"/>
      <c r="B2" s="5"/>
    </row>
    <row r="3" spans="1:44">
      <c r="A3" s="6" t="s">
        <v>0</v>
      </c>
      <c r="B3" s="6" t="s">
        <v>12</v>
      </c>
      <c r="C3" s="6" t="s">
        <v>1</v>
      </c>
      <c r="D3" s="7" t="s">
        <v>17</v>
      </c>
      <c r="E3" s="7" t="s">
        <v>13</v>
      </c>
      <c r="F3" s="7" t="s">
        <v>2</v>
      </c>
      <c r="G3" s="7" t="s">
        <v>3</v>
      </c>
      <c r="H3" s="7" t="s">
        <v>4</v>
      </c>
      <c r="I3" s="7" t="s">
        <v>5</v>
      </c>
      <c r="J3" s="7" t="s">
        <v>6</v>
      </c>
      <c r="K3" s="7" t="s">
        <v>7</v>
      </c>
      <c r="L3" s="7" t="s">
        <v>8</v>
      </c>
      <c r="M3" s="7" t="s">
        <v>9</v>
      </c>
      <c r="N3" s="7" t="s">
        <v>10</v>
      </c>
      <c r="O3" s="7" t="s">
        <v>11</v>
      </c>
      <c r="P3" s="7" t="s">
        <v>256</v>
      </c>
      <c r="Q3" s="7" t="s">
        <v>257</v>
      </c>
      <c r="R3" s="7" t="s">
        <v>258</v>
      </c>
      <c r="S3" s="7" t="s">
        <v>259</v>
      </c>
      <c r="T3" s="7" t="s">
        <v>260</v>
      </c>
      <c r="U3" s="7" t="s">
        <v>261</v>
      </c>
      <c r="V3" s="7" t="s">
        <v>262</v>
      </c>
      <c r="W3" s="7" t="s">
        <v>263</v>
      </c>
      <c r="X3" s="7" t="s">
        <v>264</v>
      </c>
      <c r="Y3" s="7" t="s">
        <v>265</v>
      </c>
      <c r="Z3" s="7" t="s">
        <v>266</v>
      </c>
      <c r="AA3" s="7" t="s">
        <v>267</v>
      </c>
      <c r="AB3" s="7" t="s">
        <v>268</v>
      </c>
      <c r="AC3" s="7" t="s">
        <v>269</v>
      </c>
      <c r="AD3" s="7" t="s">
        <v>270</v>
      </c>
      <c r="AE3" s="7" t="s">
        <v>271</v>
      </c>
      <c r="AF3" s="7" t="s">
        <v>272</v>
      </c>
      <c r="AG3" s="7" t="s">
        <v>273</v>
      </c>
      <c r="AH3" s="7" t="s">
        <v>274</v>
      </c>
      <c r="AI3" s="7" t="s">
        <v>275</v>
      </c>
      <c r="AJ3" s="7" t="s">
        <v>276</v>
      </c>
      <c r="AK3" s="7" t="s">
        <v>277</v>
      </c>
      <c r="AL3" s="7" t="s">
        <v>278</v>
      </c>
      <c r="AM3" s="7" t="s">
        <v>279</v>
      </c>
      <c r="AN3" s="7" t="s">
        <v>280</v>
      </c>
      <c r="AO3" s="7" t="s">
        <v>281</v>
      </c>
      <c r="AP3" s="7" t="s">
        <v>282</v>
      </c>
      <c r="AQ3" s="7" t="s">
        <v>283</v>
      </c>
      <c r="AR3" s="7" t="s">
        <v>284</v>
      </c>
    </row>
    <row r="4" spans="1:44">
      <c r="A4" s="2" t="s">
        <v>14</v>
      </c>
      <c r="B4" s="2" t="s">
        <v>34</v>
      </c>
      <c r="C4" s="2" t="s">
        <v>15</v>
      </c>
      <c r="D4" s="127">
        <v>-1</v>
      </c>
      <c r="E4" s="127">
        <v>-1</v>
      </c>
      <c r="F4" s="127">
        <v>-1</v>
      </c>
      <c r="G4" s="127">
        <v>-1</v>
      </c>
      <c r="H4" s="127">
        <v>-0.7</v>
      </c>
      <c r="I4" s="127">
        <v>-0.9</v>
      </c>
      <c r="J4" s="127">
        <v>-0.7</v>
      </c>
      <c r="K4" s="127">
        <v>-0.7</v>
      </c>
      <c r="L4" s="127">
        <v>-0.9</v>
      </c>
      <c r="M4" s="127">
        <v>-0.9</v>
      </c>
      <c r="N4" s="127">
        <v>-0.8</v>
      </c>
      <c r="O4" s="127">
        <v>-0.8</v>
      </c>
      <c r="P4" s="127">
        <v>-0.9</v>
      </c>
      <c r="Q4" s="127">
        <v>-0.9</v>
      </c>
      <c r="R4" s="127">
        <v>-0.9</v>
      </c>
      <c r="S4" s="127">
        <v>-1.1000000000000001</v>
      </c>
      <c r="T4" s="127">
        <v>-1</v>
      </c>
      <c r="U4" s="127">
        <v>-1.1000000000000001</v>
      </c>
      <c r="V4" s="127">
        <v>-1.1000000000000001</v>
      </c>
      <c r="W4" s="127">
        <v>-1.2</v>
      </c>
      <c r="X4" s="127">
        <v>-1.3</v>
      </c>
      <c r="Y4" s="127">
        <v>-1.6</v>
      </c>
      <c r="Z4" s="127">
        <v>-1.5</v>
      </c>
      <c r="AA4" s="127">
        <v>-1.5</v>
      </c>
      <c r="AB4" s="127">
        <v>-1.7</v>
      </c>
      <c r="AC4" s="127">
        <v>-1.9</v>
      </c>
      <c r="AD4" s="127">
        <v>-1.8</v>
      </c>
      <c r="AE4" s="127">
        <v>-2</v>
      </c>
      <c r="AF4" s="127">
        <v>-2.1</v>
      </c>
      <c r="AG4" s="127">
        <v>-2.2000000000000002</v>
      </c>
      <c r="AH4" s="127">
        <v>-2.2999999999999998</v>
      </c>
      <c r="AI4" s="127">
        <v>-2.5</v>
      </c>
      <c r="AJ4" s="127">
        <v>-2.6</v>
      </c>
      <c r="AK4" s="127">
        <v>-2.8</v>
      </c>
      <c r="AL4" s="127">
        <v>-2.9</v>
      </c>
      <c r="AM4" s="127">
        <v>-3.1</v>
      </c>
      <c r="AN4" s="127">
        <v>-3.3</v>
      </c>
      <c r="AO4" s="127">
        <v>-3.5</v>
      </c>
      <c r="AP4" s="127">
        <v>-3.7</v>
      </c>
      <c r="AQ4" s="127">
        <v>-3.9</v>
      </c>
      <c r="AR4" s="127">
        <v>-4.2</v>
      </c>
    </row>
    <row r="5" spans="1:44">
      <c r="A5" s="2" t="s">
        <v>14</v>
      </c>
      <c r="B5" s="2" t="s">
        <v>36</v>
      </c>
      <c r="C5" s="2" t="s">
        <v>15</v>
      </c>
      <c r="D5" s="127">
        <v>-1</v>
      </c>
      <c r="E5" s="127">
        <v>-1</v>
      </c>
      <c r="F5" s="127">
        <v>-1</v>
      </c>
      <c r="G5" s="127">
        <v>-1</v>
      </c>
      <c r="H5" s="127">
        <v>-0.7</v>
      </c>
      <c r="I5" s="127">
        <v>-0.8</v>
      </c>
      <c r="J5" s="127">
        <v>-0.5</v>
      </c>
      <c r="K5" s="127">
        <v>-0.6</v>
      </c>
      <c r="L5" s="127">
        <v>-0.6</v>
      </c>
      <c r="M5" s="127">
        <v>-0.6</v>
      </c>
      <c r="N5" s="127">
        <v>-0.4</v>
      </c>
      <c r="O5" s="127">
        <v>-0.3</v>
      </c>
      <c r="P5" s="127">
        <v>-0.4</v>
      </c>
      <c r="Q5" s="127">
        <v>-0.4</v>
      </c>
      <c r="R5" s="127">
        <v>-0.4</v>
      </c>
      <c r="S5" s="127">
        <v>-0.6</v>
      </c>
      <c r="T5" s="127">
        <v>-0.4</v>
      </c>
      <c r="U5" s="127">
        <v>-0.4</v>
      </c>
      <c r="V5" s="127">
        <v>-0.4</v>
      </c>
      <c r="W5" s="127">
        <v>-0.4</v>
      </c>
      <c r="X5" s="127">
        <v>-0.4</v>
      </c>
      <c r="Y5" s="127">
        <v>-0.7</v>
      </c>
      <c r="Z5" s="127">
        <v>-0.5</v>
      </c>
      <c r="AA5" s="127">
        <v>-0.5</v>
      </c>
      <c r="AB5" s="127">
        <v>-0.7</v>
      </c>
      <c r="AC5" s="127">
        <v>-0.7</v>
      </c>
      <c r="AD5" s="127">
        <v>-0.6</v>
      </c>
      <c r="AE5" s="127">
        <v>-0.7</v>
      </c>
      <c r="AF5" s="127">
        <v>-0.7</v>
      </c>
      <c r="AG5" s="127">
        <v>-0.8</v>
      </c>
      <c r="AH5" s="127">
        <v>-0.8</v>
      </c>
      <c r="AI5" s="127">
        <v>-0.9</v>
      </c>
      <c r="AJ5" s="127">
        <v>-0.9</v>
      </c>
      <c r="AK5" s="127">
        <v>-1</v>
      </c>
      <c r="AL5" s="127">
        <v>-1.1000000000000001</v>
      </c>
      <c r="AM5" s="127">
        <v>-1.2</v>
      </c>
      <c r="AN5" s="127">
        <v>-1.3</v>
      </c>
      <c r="AO5" s="127">
        <v>-1.4</v>
      </c>
      <c r="AP5" s="127">
        <v>-1.5</v>
      </c>
      <c r="AQ5" s="127">
        <v>-1.6</v>
      </c>
      <c r="AR5" s="127">
        <v>-1.8</v>
      </c>
    </row>
    <row r="6" spans="1:44">
      <c r="A6" s="2" t="s">
        <v>14</v>
      </c>
      <c r="B6" s="2" t="s">
        <v>38</v>
      </c>
      <c r="C6" s="2" t="s">
        <v>15</v>
      </c>
      <c r="D6" s="127">
        <v>-1</v>
      </c>
      <c r="E6" s="127">
        <v>-1</v>
      </c>
      <c r="F6" s="127">
        <v>-1</v>
      </c>
      <c r="G6" s="127">
        <v>-1</v>
      </c>
      <c r="H6" s="127">
        <v>-0.7</v>
      </c>
      <c r="I6" s="127">
        <v>-0.8</v>
      </c>
      <c r="J6" s="127">
        <v>-0.4</v>
      </c>
      <c r="K6" s="127">
        <v>-0.4</v>
      </c>
      <c r="L6" s="127">
        <v>-0.4</v>
      </c>
      <c r="M6" s="127">
        <v>-0.3</v>
      </c>
      <c r="N6" s="127">
        <v>0</v>
      </c>
      <c r="O6" s="127">
        <v>0.2</v>
      </c>
      <c r="P6" s="127">
        <v>0</v>
      </c>
      <c r="Q6" s="127">
        <v>0</v>
      </c>
      <c r="R6" s="127">
        <v>0.1</v>
      </c>
      <c r="S6" s="127">
        <v>0</v>
      </c>
      <c r="T6" s="127">
        <v>0.3</v>
      </c>
      <c r="U6" s="127">
        <v>0.3</v>
      </c>
      <c r="V6" s="127">
        <v>0.3</v>
      </c>
      <c r="W6" s="127">
        <v>0.4</v>
      </c>
      <c r="X6" s="127">
        <v>0.4</v>
      </c>
      <c r="Y6" s="127">
        <v>0.2</v>
      </c>
      <c r="Z6" s="127">
        <v>0.4</v>
      </c>
      <c r="AA6" s="127">
        <v>0.4</v>
      </c>
      <c r="AB6" s="127">
        <v>0.4</v>
      </c>
      <c r="AC6" s="127">
        <v>0.4</v>
      </c>
      <c r="AD6" s="127">
        <v>0.5</v>
      </c>
      <c r="AE6" s="127">
        <v>0.6</v>
      </c>
      <c r="AF6" s="127">
        <v>0.6</v>
      </c>
      <c r="AG6" s="127">
        <v>0.6</v>
      </c>
      <c r="AH6" s="127">
        <v>0.7</v>
      </c>
      <c r="AI6" s="127">
        <v>0.7</v>
      </c>
      <c r="AJ6" s="127">
        <v>0.7</v>
      </c>
      <c r="AK6" s="127">
        <v>0.7</v>
      </c>
      <c r="AL6" s="127">
        <v>0.7</v>
      </c>
      <c r="AM6" s="127">
        <v>0.7</v>
      </c>
      <c r="AN6" s="127">
        <v>0.7</v>
      </c>
      <c r="AO6" s="127">
        <v>0.6</v>
      </c>
      <c r="AP6" s="127">
        <v>0.6</v>
      </c>
      <c r="AQ6" s="127">
        <v>0.6</v>
      </c>
      <c r="AR6" s="127">
        <v>0.5</v>
      </c>
    </row>
    <row r="7" spans="1:44">
      <c r="A7" s="10"/>
      <c r="B7" s="10"/>
    </row>
    <row r="8" spans="1:44">
      <c r="A8" s="27" t="s">
        <v>211</v>
      </c>
      <c r="B8" s="10"/>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CD5118-7228-4FEC-863E-29605FBB17BA}">
  <dimension ref="A1:D78"/>
  <sheetViews>
    <sheetView zoomScaleNormal="100" workbookViewId="0"/>
  </sheetViews>
  <sheetFormatPr defaultColWidth="9.1796875" defaultRowHeight="14.5"/>
  <cols>
    <col min="1" max="1" width="19.7265625" style="29" customWidth="1"/>
    <col min="2" max="2" width="50.7265625" style="29" customWidth="1"/>
    <col min="3" max="3" width="36.7265625" style="29" customWidth="1"/>
    <col min="4" max="4" width="40.54296875" style="29" customWidth="1"/>
    <col min="5" max="16384" width="9.1796875" style="29"/>
  </cols>
  <sheetData>
    <row r="1" spans="1:2" ht="16">
      <c r="A1" s="43" t="s">
        <v>152</v>
      </c>
      <c r="B1" s="28"/>
    </row>
    <row r="2" spans="1:2" ht="16.5" thickBot="1">
      <c r="A2" s="28"/>
      <c r="B2" s="28"/>
    </row>
    <row r="3" spans="1:2" ht="15" thickBot="1">
      <c r="A3" s="156" t="s">
        <v>161</v>
      </c>
      <c r="B3" s="156"/>
    </row>
    <row r="4" spans="1:2" ht="15.5" thickTop="1" thickBot="1">
      <c r="A4" s="157" t="s">
        <v>162</v>
      </c>
      <c r="B4" s="157"/>
    </row>
    <row r="5" spans="1:2">
      <c r="A5" s="158" t="s">
        <v>93</v>
      </c>
      <c r="B5" s="95" t="s">
        <v>163</v>
      </c>
    </row>
    <row r="6" spans="1:2">
      <c r="A6" s="159"/>
      <c r="B6" s="96" t="s">
        <v>164</v>
      </c>
    </row>
    <row r="7" spans="1:2">
      <c r="A7" s="159"/>
      <c r="B7" s="96" t="s">
        <v>165</v>
      </c>
    </row>
    <row r="8" spans="1:2">
      <c r="A8" s="159"/>
      <c r="B8" s="96" t="s">
        <v>166</v>
      </c>
    </row>
    <row r="9" spans="1:2">
      <c r="A9" s="159"/>
      <c r="B9" s="96" t="s">
        <v>167</v>
      </c>
    </row>
    <row r="10" spans="1:2">
      <c r="A10" s="159"/>
      <c r="B10" s="95" t="s">
        <v>118</v>
      </c>
    </row>
    <row r="11" spans="1:2">
      <c r="A11" s="159"/>
      <c r="B11" s="96" t="s">
        <v>168</v>
      </c>
    </row>
    <row r="12" spans="1:2">
      <c r="A12" s="159"/>
      <c r="B12" s="96" t="s">
        <v>169</v>
      </c>
    </row>
    <row r="13" spans="1:2">
      <c r="A13" s="159"/>
      <c r="B13" s="95" t="s">
        <v>170</v>
      </c>
    </row>
    <row r="14" spans="1:2">
      <c r="A14" s="159"/>
      <c r="B14" s="96" t="s">
        <v>171</v>
      </c>
    </row>
    <row r="15" spans="1:2">
      <c r="A15" s="159"/>
      <c r="B15" s="96" t="s">
        <v>172</v>
      </c>
    </row>
    <row r="16" spans="1:2">
      <c r="A16" s="159"/>
      <c r="B16" s="96" t="s">
        <v>173</v>
      </c>
    </row>
    <row r="17" spans="1:2">
      <c r="A17" s="159"/>
      <c r="B17" s="95" t="s">
        <v>116</v>
      </c>
    </row>
    <row r="18" spans="1:2" ht="15" thickBot="1">
      <c r="A18" s="160"/>
      <c r="B18" s="97" t="s">
        <v>174</v>
      </c>
    </row>
    <row r="19" spans="1:2">
      <c r="A19" s="158" t="s">
        <v>94</v>
      </c>
      <c r="B19" s="100" t="s">
        <v>175</v>
      </c>
    </row>
    <row r="20" spans="1:2">
      <c r="A20" s="159"/>
      <c r="B20" s="101" t="s">
        <v>176</v>
      </c>
    </row>
    <row r="21" spans="1:2">
      <c r="A21" s="159"/>
      <c r="B21" s="101" t="s">
        <v>177</v>
      </c>
    </row>
    <row r="22" spans="1:2">
      <c r="A22" s="159"/>
      <c r="B22" s="101" t="s">
        <v>178</v>
      </c>
    </row>
    <row r="23" spans="1:2">
      <c r="A23" s="159"/>
      <c r="B23" s="101" t="s">
        <v>179</v>
      </c>
    </row>
    <row r="24" spans="1:2">
      <c r="A24" s="159"/>
      <c r="B24" s="101" t="s">
        <v>117</v>
      </c>
    </row>
    <row r="25" spans="1:2">
      <c r="A25" s="159"/>
      <c r="B25" s="102" t="s">
        <v>180</v>
      </c>
    </row>
    <row r="26" spans="1:2">
      <c r="A26" s="159"/>
      <c r="B26" s="101" t="s">
        <v>181</v>
      </c>
    </row>
    <row r="27" spans="1:2">
      <c r="A27" s="159"/>
      <c r="B27" s="101" t="s">
        <v>182</v>
      </c>
    </row>
    <row r="28" spans="1:2">
      <c r="A28" s="159"/>
      <c r="B28" s="102" t="s">
        <v>183</v>
      </c>
    </row>
    <row r="29" spans="1:2">
      <c r="A29" s="159"/>
      <c r="B29" s="101" t="s">
        <v>184</v>
      </c>
    </row>
    <row r="30" spans="1:2">
      <c r="A30" s="159"/>
      <c r="B30" s="101" t="s">
        <v>185</v>
      </c>
    </row>
    <row r="31" spans="1:2">
      <c r="A31" s="159"/>
      <c r="B31" s="101" t="s">
        <v>111</v>
      </c>
    </row>
    <row r="32" spans="1:2">
      <c r="A32" s="159"/>
      <c r="B32" s="101" t="s">
        <v>139</v>
      </c>
    </row>
    <row r="33" spans="1:2">
      <c r="A33" s="159"/>
      <c r="B33" s="101" t="s">
        <v>186</v>
      </c>
    </row>
    <row r="34" spans="1:2">
      <c r="A34" s="159"/>
      <c r="B34" s="101" t="s">
        <v>187</v>
      </c>
    </row>
    <row r="35" spans="1:2">
      <c r="A35" s="159"/>
      <c r="B35" s="101" t="s">
        <v>188</v>
      </c>
    </row>
    <row r="36" spans="1:2">
      <c r="A36" s="159"/>
      <c r="B36" s="101" t="s">
        <v>189</v>
      </c>
    </row>
    <row r="37" spans="1:2">
      <c r="A37" s="159"/>
      <c r="B37" s="101" t="s">
        <v>190</v>
      </c>
    </row>
    <row r="38" spans="1:2">
      <c r="A38" s="159"/>
      <c r="B38" s="101" t="s">
        <v>191</v>
      </c>
    </row>
    <row r="39" spans="1:2">
      <c r="A39" s="159"/>
      <c r="B39" s="102" t="s">
        <v>96</v>
      </c>
    </row>
    <row r="40" spans="1:2">
      <c r="A40" s="159"/>
      <c r="B40" s="102" t="s">
        <v>192</v>
      </c>
    </row>
    <row r="41" spans="1:2">
      <c r="A41" s="159"/>
      <c r="B41" s="102" t="s">
        <v>151</v>
      </c>
    </row>
    <row r="42" spans="1:2">
      <c r="A42" s="159"/>
      <c r="B42" s="101" t="s">
        <v>193</v>
      </c>
    </row>
    <row r="43" spans="1:2">
      <c r="A43" s="159"/>
      <c r="B43" s="101" t="s">
        <v>194</v>
      </c>
    </row>
    <row r="44" spans="1:2">
      <c r="A44" s="159"/>
      <c r="B44" s="101" t="s">
        <v>195</v>
      </c>
    </row>
    <row r="45" spans="1:2" ht="28.5" thickBot="1">
      <c r="A45" s="161"/>
      <c r="B45" s="103" t="s">
        <v>196</v>
      </c>
    </row>
    <row r="46" spans="1:2" ht="28">
      <c r="A46" s="159" t="s">
        <v>95</v>
      </c>
      <c r="B46" s="96" t="s">
        <v>197</v>
      </c>
    </row>
    <row r="47" spans="1:2">
      <c r="A47" s="159"/>
      <c r="B47" s="96" t="s">
        <v>198</v>
      </c>
    </row>
    <row r="48" spans="1:2">
      <c r="A48" s="159"/>
      <c r="B48" s="96" t="s">
        <v>199</v>
      </c>
    </row>
    <row r="49" spans="1:3" ht="15" thickBot="1">
      <c r="A49" s="162"/>
      <c r="B49" s="98" t="s">
        <v>112</v>
      </c>
    </row>
    <row r="50" spans="1:3" ht="16">
      <c r="A50" s="28"/>
      <c r="B50" s="28"/>
    </row>
    <row r="51" spans="1:3" s="90" customFormat="1" ht="12.65" customHeight="1">
      <c r="A51" s="91"/>
      <c r="B51" s="92"/>
      <c r="C51" s="93"/>
    </row>
    <row r="52" spans="1:3" s="90" customFormat="1" ht="12.65" customHeight="1">
      <c r="A52" s="91"/>
      <c r="B52" s="92"/>
      <c r="C52" s="93"/>
    </row>
    <row r="53" spans="1:3" s="90" customFormat="1" ht="12.65" customHeight="1">
      <c r="A53" s="94" t="s">
        <v>213</v>
      </c>
      <c r="B53" s="92"/>
      <c r="C53" s="93"/>
    </row>
    <row r="54" spans="1:3" s="90" customFormat="1" ht="12.65" customHeight="1" thickBot="1">
      <c r="A54" s="91"/>
      <c r="B54" s="92"/>
      <c r="C54" s="93"/>
    </row>
    <row r="55" spans="1:3" s="90" customFormat="1" ht="13.9" customHeight="1" thickBot="1">
      <c r="A55" s="156" t="s">
        <v>120</v>
      </c>
      <c r="B55" s="156"/>
      <c r="C55" s="93"/>
    </row>
    <row r="56" spans="1:3" s="90" customFormat="1" ht="13.9" customHeight="1" thickTop="1" thickBot="1">
      <c r="A56" s="157" t="s">
        <v>162</v>
      </c>
      <c r="B56" s="157"/>
      <c r="C56" s="93"/>
    </row>
    <row r="57" spans="1:3" s="90" customFormat="1" ht="12" customHeight="1">
      <c r="A57" s="158" t="s">
        <v>93</v>
      </c>
      <c r="B57" s="96" t="s">
        <v>119</v>
      </c>
      <c r="C57" s="93"/>
    </row>
    <row r="58" spans="1:3" s="90" customFormat="1" ht="12.65" customHeight="1">
      <c r="A58" s="159"/>
      <c r="B58" s="96" t="s">
        <v>115</v>
      </c>
      <c r="C58" s="93"/>
    </row>
    <row r="59" spans="1:3" s="90" customFormat="1" ht="15.75" customHeight="1" thickBot="1">
      <c r="A59" s="160"/>
      <c r="B59" s="97" t="s">
        <v>200</v>
      </c>
      <c r="C59" s="93"/>
    </row>
    <row r="60" spans="1:3" s="90" customFormat="1" ht="12.65" customHeight="1">
      <c r="A60" s="158" t="s">
        <v>94</v>
      </c>
      <c r="B60" s="100" t="s">
        <v>97</v>
      </c>
      <c r="C60" s="93"/>
    </row>
    <row r="61" spans="1:3" s="90" customFormat="1" ht="12.65" customHeight="1">
      <c r="A61" s="159"/>
      <c r="B61" s="101" t="s">
        <v>113</v>
      </c>
      <c r="C61" s="93"/>
    </row>
    <row r="62" spans="1:3" s="90" customFormat="1" ht="12.65" customHeight="1">
      <c r="A62" s="159"/>
      <c r="B62" s="101" t="s">
        <v>114</v>
      </c>
      <c r="C62" s="93"/>
    </row>
    <row r="63" spans="1:3" s="90" customFormat="1" ht="12.65" customHeight="1">
      <c r="A63" s="159"/>
      <c r="B63" s="101" t="s">
        <v>140</v>
      </c>
      <c r="C63" s="93"/>
    </row>
    <row r="64" spans="1:3" s="90" customFormat="1" ht="12.65" customHeight="1">
      <c r="A64" s="159"/>
      <c r="B64" s="101" t="s">
        <v>141</v>
      </c>
      <c r="C64" s="93"/>
    </row>
    <row r="65" spans="1:4" s="90" customFormat="1" ht="12.65" customHeight="1">
      <c r="A65" s="159"/>
      <c r="B65" s="101" t="s">
        <v>142</v>
      </c>
      <c r="C65" s="93"/>
    </row>
    <row r="66" spans="1:4" s="90" customFormat="1" ht="12.65" customHeight="1">
      <c r="A66" s="159"/>
      <c r="B66" s="101" t="s">
        <v>201</v>
      </c>
      <c r="C66" s="93"/>
    </row>
    <row r="67" spans="1:4" s="90" customFormat="1" ht="12.65" customHeight="1">
      <c r="A67" s="159"/>
      <c r="B67" s="102" t="s">
        <v>108</v>
      </c>
      <c r="C67" s="93"/>
    </row>
    <row r="68" spans="1:4" s="90" customFormat="1" ht="12.65" customHeight="1" thickBot="1">
      <c r="A68" s="161"/>
      <c r="B68" s="103" t="s">
        <v>110</v>
      </c>
      <c r="C68" s="93"/>
    </row>
    <row r="69" spans="1:4" s="90" customFormat="1" ht="15" thickBot="1">
      <c r="A69" s="99" t="s">
        <v>95</v>
      </c>
      <c r="B69" s="98" t="s">
        <v>143</v>
      </c>
      <c r="C69" s="93"/>
    </row>
    <row r="70" spans="1:4" s="90" customFormat="1" ht="12.65" customHeight="1" thickTop="1">
      <c r="A70" s="91"/>
      <c r="B70" s="92"/>
      <c r="C70" s="93"/>
    </row>
    <row r="71" spans="1:4">
      <c r="A71" s="30" t="s">
        <v>60</v>
      </c>
      <c r="B71" s="31"/>
      <c r="C71" s="31"/>
    </row>
    <row r="72" spans="1:4">
      <c r="A72" s="32"/>
      <c r="C72" s="31"/>
    </row>
    <row r="73" spans="1:4">
      <c r="A73" s="30" t="s">
        <v>61</v>
      </c>
    </row>
    <row r="74" spans="1:4" ht="30.75" customHeight="1">
      <c r="A74" s="155" t="s">
        <v>202</v>
      </c>
      <c r="B74" s="155"/>
      <c r="C74" s="155"/>
      <c r="D74" s="155"/>
    </row>
    <row r="75" spans="1:4" s="42" customFormat="1" ht="45" customHeight="1">
      <c r="A75" s="154" t="s">
        <v>158</v>
      </c>
      <c r="B75" s="154"/>
      <c r="C75" s="154"/>
      <c r="D75" s="154"/>
    </row>
    <row r="76" spans="1:4">
      <c r="A76" s="155" t="s">
        <v>109</v>
      </c>
      <c r="B76" s="155"/>
      <c r="C76" s="155"/>
      <c r="D76" s="155"/>
    </row>
    <row r="77" spans="1:4" ht="33" customHeight="1">
      <c r="A77" s="155" t="s">
        <v>214</v>
      </c>
      <c r="B77" s="155"/>
      <c r="C77" s="155"/>
      <c r="D77" s="155"/>
    </row>
    <row r="78" spans="1:4">
      <c r="A78" s="155"/>
      <c r="B78" s="155"/>
      <c r="C78" s="155"/>
      <c r="D78" s="155"/>
    </row>
  </sheetData>
  <mergeCells count="14">
    <mergeCell ref="A55:B55"/>
    <mergeCell ref="A56:B56"/>
    <mergeCell ref="A57:A59"/>
    <mergeCell ref="A60:A68"/>
    <mergeCell ref="A3:B3"/>
    <mergeCell ref="A4:B4"/>
    <mergeCell ref="A5:A18"/>
    <mergeCell ref="A19:A45"/>
    <mergeCell ref="A46:A49"/>
    <mergeCell ref="A75:D75"/>
    <mergeCell ref="A76:D76"/>
    <mergeCell ref="A77:D77"/>
    <mergeCell ref="A78:D78"/>
    <mergeCell ref="A74:D7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A3CD9B-443E-45A5-B709-C1AA88ED6F51}">
  <dimension ref="A1:CE9"/>
  <sheetViews>
    <sheetView workbookViewId="0">
      <pane xSplit="2" ySplit="3" topLeftCell="C4" activePane="bottomRight" state="frozen"/>
      <selection pane="topRight" activeCell="C1" sqref="C1"/>
      <selection pane="bottomLeft" activeCell="A4" sqref="A4"/>
      <selection pane="bottomRight"/>
    </sheetView>
  </sheetViews>
  <sheetFormatPr defaultColWidth="9.1796875" defaultRowHeight="14.5"/>
  <cols>
    <col min="1" max="1" width="25.7265625" style="2" customWidth="1"/>
    <col min="2" max="2" width="24.81640625" style="2" customWidth="1"/>
    <col min="3" max="83" width="10.453125" style="2" customWidth="1"/>
    <col min="84" max="16384" width="9.1796875" style="2"/>
  </cols>
  <sheetData>
    <row r="1" spans="1:83" ht="15.65" customHeight="1">
      <c r="A1" s="5" t="s">
        <v>203</v>
      </c>
      <c r="B1" s="5"/>
      <c r="C1" s="5"/>
    </row>
    <row r="2" spans="1:83" ht="14.5" customHeight="1">
      <c r="A2" s="5"/>
      <c r="B2" s="5"/>
      <c r="C2" s="5"/>
    </row>
    <row r="3" spans="1:83">
      <c r="A3" s="6" t="s">
        <v>0</v>
      </c>
      <c r="B3" s="6" t="s">
        <v>1</v>
      </c>
      <c r="C3" s="7" t="s">
        <v>216</v>
      </c>
      <c r="D3" s="7" t="s">
        <v>217</v>
      </c>
      <c r="E3" s="7" t="s">
        <v>218</v>
      </c>
      <c r="F3" s="7" t="s">
        <v>219</v>
      </c>
      <c r="G3" s="7" t="s">
        <v>220</v>
      </c>
      <c r="H3" s="7" t="s">
        <v>221</v>
      </c>
      <c r="I3" s="7" t="s">
        <v>222</v>
      </c>
      <c r="J3" s="7" t="s">
        <v>223</v>
      </c>
      <c r="K3" s="7" t="s">
        <v>224</v>
      </c>
      <c r="L3" s="7" t="s">
        <v>225</v>
      </c>
      <c r="M3" s="7" t="s">
        <v>226</v>
      </c>
      <c r="N3" s="7" t="s">
        <v>227</v>
      </c>
      <c r="O3" s="7" t="s">
        <v>228</v>
      </c>
      <c r="P3" s="7" t="s">
        <v>229</v>
      </c>
      <c r="Q3" s="7" t="s">
        <v>230</v>
      </c>
      <c r="R3" s="7" t="s">
        <v>231</v>
      </c>
      <c r="S3" s="7" t="s">
        <v>232</v>
      </c>
      <c r="T3" s="7" t="s">
        <v>233</v>
      </c>
      <c r="U3" s="7" t="s">
        <v>234</v>
      </c>
      <c r="V3" s="7" t="s">
        <v>235</v>
      </c>
      <c r="W3" s="7" t="s">
        <v>236</v>
      </c>
      <c r="X3" s="7" t="s">
        <v>237</v>
      </c>
      <c r="Y3" s="7" t="s">
        <v>238</v>
      </c>
      <c r="Z3" s="7" t="s">
        <v>239</v>
      </c>
      <c r="AA3" s="7" t="s">
        <v>240</v>
      </c>
      <c r="AB3" s="7" t="s">
        <v>241</v>
      </c>
      <c r="AC3" s="7" t="s">
        <v>242</v>
      </c>
      <c r="AD3" s="7" t="s">
        <v>243</v>
      </c>
      <c r="AE3" s="7" t="s">
        <v>244</v>
      </c>
      <c r="AF3" s="7" t="s">
        <v>245</v>
      </c>
      <c r="AG3" s="7" t="s">
        <v>246</v>
      </c>
      <c r="AH3" s="7" t="s">
        <v>247</v>
      </c>
      <c r="AI3" s="7" t="s">
        <v>248</v>
      </c>
      <c r="AJ3" s="7" t="s">
        <v>249</v>
      </c>
      <c r="AK3" s="7" t="s">
        <v>250</v>
      </c>
      <c r="AL3" s="7" t="s">
        <v>251</v>
      </c>
      <c r="AM3" s="7" t="s">
        <v>252</v>
      </c>
      <c r="AN3" s="7" t="s">
        <v>253</v>
      </c>
      <c r="AO3" s="7" t="s">
        <v>254</v>
      </c>
      <c r="AP3" s="7" t="s">
        <v>255</v>
      </c>
      <c r="AQ3" s="7" t="s">
        <v>17</v>
      </c>
      <c r="AR3" s="7" t="s">
        <v>13</v>
      </c>
      <c r="AS3" s="7" t="s">
        <v>2</v>
      </c>
      <c r="AT3" s="7" t="s">
        <v>3</v>
      </c>
      <c r="AU3" s="7" t="s">
        <v>4</v>
      </c>
      <c r="AV3" s="7" t="s">
        <v>5</v>
      </c>
      <c r="AW3" s="7" t="s">
        <v>6</v>
      </c>
      <c r="AX3" s="7" t="s">
        <v>7</v>
      </c>
      <c r="AY3" s="7" t="s">
        <v>8</v>
      </c>
      <c r="AZ3" s="7" t="s">
        <v>9</v>
      </c>
      <c r="BA3" s="7" t="s">
        <v>10</v>
      </c>
      <c r="BB3" s="7" t="s">
        <v>11</v>
      </c>
      <c r="BC3" s="7" t="s">
        <v>256</v>
      </c>
      <c r="BD3" s="7" t="s">
        <v>257</v>
      </c>
      <c r="BE3" s="7" t="s">
        <v>258</v>
      </c>
      <c r="BF3" s="7" t="s">
        <v>259</v>
      </c>
      <c r="BG3" s="7" t="s">
        <v>260</v>
      </c>
      <c r="BH3" s="7" t="s">
        <v>261</v>
      </c>
      <c r="BI3" s="7" t="s">
        <v>262</v>
      </c>
      <c r="BJ3" s="7" t="s">
        <v>263</v>
      </c>
      <c r="BK3" s="7" t="s">
        <v>264</v>
      </c>
      <c r="BL3" s="7" t="s">
        <v>265</v>
      </c>
      <c r="BM3" s="7" t="s">
        <v>266</v>
      </c>
      <c r="BN3" s="7" t="s">
        <v>267</v>
      </c>
      <c r="BO3" s="7" t="s">
        <v>268</v>
      </c>
      <c r="BP3" s="7" t="s">
        <v>269</v>
      </c>
      <c r="BQ3" s="7" t="s">
        <v>270</v>
      </c>
      <c r="BR3" s="7" t="s">
        <v>271</v>
      </c>
      <c r="BS3" s="7" t="s">
        <v>272</v>
      </c>
      <c r="BT3" s="7" t="s">
        <v>273</v>
      </c>
      <c r="BU3" s="7" t="s">
        <v>274</v>
      </c>
      <c r="BV3" s="7" t="s">
        <v>275</v>
      </c>
      <c r="BW3" s="7" t="s">
        <v>276</v>
      </c>
      <c r="BX3" s="7" t="s">
        <v>277</v>
      </c>
      <c r="BY3" s="7" t="s">
        <v>278</v>
      </c>
      <c r="BZ3" s="7" t="s">
        <v>279</v>
      </c>
      <c r="CA3" s="7" t="s">
        <v>280</v>
      </c>
      <c r="CB3" s="7" t="s">
        <v>281</v>
      </c>
      <c r="CC3" s="7" t="s">
        <v>282</v>
      </c>
      <c r="CD3" s="7" t="s">
        <v>283</v>
      </c>
      <c r="CE3" s="7" t="s">
        <v>284</v>
      </c>
    </row>
    <row r="4" spans="1:83" s="8" customFormat="1">
      <c r="A4" s="27" t="s">
        <v>92</v>
      </c>
      <c r="B4" s="2" t="s">
        <v>15</v>
      </c>
      <c r="C4" s="8">
        <v>22.5</v>
      </c>
      <c r="D4" s="8">
        <v>23.2</v>
      </c>
      <c r="E4" s="8">
        <v>23.1</v>
      </c>
      <c r="F4" s="8">
        <v>22.6</v>
      </c>
      <c r="G4" s="8">
        <v>22.4</v>
      </c>
      <c r="H4" s="8">
        <v>22.3</v>
      </c>
      <c r="I4" s="8">
        <v>20.6</v>
      </c>
      <c r="J4" s="8">
        <v>20</v>
      </c>
      <c r="K4" s="8">
        <v>20</v>
      </c>
      <c r="L4" s="8">
        <v>21.1</v>
      </c>
      <c r="M4" s="8">
        <v>21.8</v>
      </c>
      <c r="N4" s="8">
        <v>22.3</v>
      </c>
      <c r="O4" s="8">
        <v>22.2</v>
      </c>
      <c r="P4" s="8">
        <v>22.2</v>
      </c>
      <c r="Q4" s="8">
        <v>22.8</v>
      </c>
      <c r="R4" s="8">
        <v>24</v>
      </c>
      <c r="S4" s="8">
        <v>23.1</v>
      </c>
      <c r="T4" s="8">
        <v>23.9</v>
      </c>
      <c r="U4" s="8">
        <v>23.9</v>
      </c>
      <c r="V4" s="8">
        <v>24.2</v>
      </c>
      <c r="W4" s="8">
        <v>24.2</v>
      </c>
      <c r="X4" s="8">
        <v>23.7</v>
      </c>
      <c r="Y4" s="8">
        <v>23.6</v>
      </c>
      <c r="Z4" s="8">
        <v>21.6</v>
      </c>
      <c r="AA4" s="8">
        <v>20</v>
      </c>
      <c r="AB4" s="8">
        <v>19.8</v>
      </c>
      <c r="AC4" s="8">
        <v>20.7</v>
      </c>
      <c r="AD4" s="8">
        <v>21.2</v>
      </c>
      <c r="AE4" s="8">
        <v>21.2</v>
      </c>
      <c r="AF4" s="8">
        <v>21.7</v>
      </c>
      <c r="AG4" s="8">
        <v>21.8</v>
      </c>
      <c r="AH4" s="8">
        <v>21.5</v>
      </c>
      <c r="AI4" s="8">
        <v>22.6</v>
      </c>
      <c r="AJ4" s="8">
        <v>22.9</v>
      </c>
      <c r="AK4" s="8">
        <v>21.7</v>
      </c>
      <c r="AL4" s="8">
        <v>22.7</v>
      </c>
      <c r="AM4" s="8">
        <v>23</v>
      </c>
      <c r="AN4" s="8">
        <v>23.3</v>
      </c>
      <c r="AO4" s="8">
        <v>23.6</v>
      </c>
      <c r="AP4" s="8">
        <v>23.7</v>
      </c>
      <c r="AQ4" s="8">
        <v>23.6</v>
      </c>
      <c r="AR4" s="8">
        <v>23.8</v>
      </c>
      <c r="AS4" s="8">
        <v>23.8</v>
      </c>
      <c r="AT4" s="8">
        <v>23.5</v>
      </c>
      <c r="AU4" s="8">
        <v>23.6</v>
      </c>
      <c r="AV4" s="8">
        <v>23.8</v>
      </c>
      <c r="AW4" s="8">
        <v>24.2</v>
      </c>
      <c r="AX4" s="8">
        <v>24.2</v>
      </c>
      <c r="AY4" s="8">
        <v>24.2</v>
      </c>
      <c r="AZ4" s="8">
        <v>24.2</v>
      </c>
      <c r="BA4" s="8">
        <v>24.2</v>
      </c>
      <c r="BB4" s="8">
        <v>24.2</v>
      </c>
      <c r="BC4" s="8">
        <v>24.2</v>
      </c>
      <c r="BD4" s="8">
        <v>24.2</v>
      </c>
      <c r="BE4" s="8">
        <v>24.2</v>
      </c>
      <c r="BF4" s="8">
        <v>24.2</v>
      </c>
      <c r="BG4" s="8">
        <v>24.2</v>
      </c>
      <c r="BH4" s="8">
        <v>24.2</v>
      </c>
      <c r="BI4" s="8">
        <v>24.2</v>
      </c>
      <c r="BJ4" s="8">
        <v>24.2</v>
      </c>
      <c r="BK4" s="8">
        <v>24.2</v>
      </c>
      <c r="BL4" s="8">
        <v>24.2</v>
      </c>
      <c r="BM4" s="8">
        <v>24.2</v>
      </c>
      <c r="BN4" s="8">
        <v>24.2</v>
      </c>
      <c r="BO4" s="8">
        <v>24.2</v>
      </c>
      <c r="BP4" s="8">
        <v>24.2</v>
      </c>
      <c r="BQ4" s="8">
        <v>24.2</v>
      </c>
      <c r="BR4" s="8">
        <v>24.2</v>
      </c>
      <c r="BS4" s="8">
        <v>24.2</v>
      </c>
      <c r="BT4" s="8">
        <v>24.2</v>
      </c>
      <c r="BU4" s="8">
        <v>24.2</v>
      </c>
      <c r="BV4" s="8">
        <v>24.2</v>
      </c>
      <c r="BW4" s="8">
        <v>24.2</v>
      </c>
      <c r="BX4" s="8">
        <v>24.2</v>
      </c>
      <c r="BY4" s="8">
        <v>24.2</v>
      </c>
      <c r="BZ4" s="8">
        <v>24.2</v>
      </c>
      <c r="CA4" s="8">
        <v>24.2</v>
      </c>
      <c r="CB4" s="8">
        <v>24.2</v>
      </c>
      <c r="CC4" s="8">
        <v>24.2</v>
      </c>
      <c r="CD4" s="8">
        <v>24.2</v>
      </c>
      <c r="CE4" s="8">
        <v>24.2</v>
      </c>
    </row>
    <row r="5" spans="1:83" ht="14.5" customHeight="1">
      <c r="A5" s="5"/>
      <c r="B5" s="5"/>
      <c r="C5" s="5"/>
    </row>
    <row r="6" spans="1:83" ht="14.5" customHeight="1">
      <c r="A6" s="27" t="s">
        <v>215</v>
      </c>
      <c r="B6" s="5"/>
      <c r="C6" s="5"/>
    </row>
    <row r="7" spans="1:83" ht="14.5" customHeight="1">
      <c r="A7" s="5"/>
      <c r="B7" s="5"/>
      <c r="C7" s="5"/>
    </row>
    <row r="8" spans="1:83" ht="14.5" customHeight="1">
      <c r="A8" s="5"/>
      <c r="B8" s="5"/>
      <c r="C8" s="5"/>
    </row>
    <row r="9" spans="1:83" ht="30" customHeight="1">
      <c r="A9" s="5"/>
      <c r="B9" s="5"/>
      <c r="C9" s="5"/>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BC395D-CDEE-4E68-BAFA-E64C8B6F4C90}">
  <dimension ref="A1:I56"/>
  <sheetViews>
    <sheetView workbookViewId="0"/>
  </sheetViews>
  <sheetFormatPr defaultColWidth="9.1796875" defaultRowHeight="14.5"/>
  <cols>
    <col min="1" max="1" width="12.7265625" style="13" customWidth="1"/>
    <col min="2" max="2" width="17.81640625" style="13" customWidth="1"/>
    <col min="3" max="3" width="9.1796875" style="13"/>
    <col min="4" max="4" width="41.54296875" style="13" customWidth="1"/>
    <col min="5" max="7" width="9.7265625" style="13" customWidth="1"/>
    <col min="8" max="8" width="9.54296875" style="13" customWidth="1"/>
    <col min="9" max="9" width="14.7265625" style="13" customWidth="1"/>
    <col min="10" max="16384" width="9.1796875" style="13"/>
  </cols>
  <sheetData>
    <row r="1" spans="1:9" ht="16">
      <c r="A1" s="5" t="s">
        <v>156</v>
      </c>
      <c r="B1" s="12"/>
    </row>
    <row r="2" spans="1:9" ht="16">
      <c r="A2" s="12"/>
      <c r="B2" s="12"/>
    </row>
    <row r="3" spans="1:9" ht="15" customHeight="1">
      <c r="A3" s="33"/>
      <c r="B3" s="34"/>
      <c r="C3" s="34"/>
      <c r="D3" s="34"/>
      <c r="E3" s="34"/>
      <c r="F3" s="34"/>
      <c r="G3" s="34"/>
      <c r="H3" s="35"/>
      <c r="I3" s="163" t="s">
        <v>98</v>
      </c>
    </row>
    <row r="4" spans="1:9" ht="40.15" customHeight="1">
      <c r="A4" s="16" t="s">
        <v>0</v>
      </c>
      <c r="B4" s="36" t="s">
        <v>31</v>
      </c>
      <c r="C4" s="36" t="s">
        <v>12</v>
      </c>
      <c r="D4" s="36" t="s">
        <v>32</v>
      </c>
      <c r="E4" s="56" t="s">
        <v>133</v>
      </c>
      <c r="F4" s="56" t="s">
        <v>134</v>
      </c>
      <c r="G4" s="56" t="s">
        <v>135</v>
      </c>
      <c r="H4" s="57" t="s">
        <v>136</v>
      </c>
      <c r="I4" s="163"/>
    </row>
    <row r="5" spans="1:9" ht="27" customHeight="1">
      <c r="A5" s="164" t="s">
        <v>33</v>
      </c>
      <c r="B5" s="167" t="s">
        <v>14</v>
      </c>
      <c r="C5" s="50" t="s">
        <v>34</v>
      </c>
      <c r="D5" s="50" t="s">
        <v>99</v>
      </c>
      <c r="E5" s="72">
        <v>-1</v>
      </c>
      <c r="F5" s="72">
        <v>-0.3</v>
      </c>
      <c r="G5" s="72">
        <v>-0.8</v>
      </c>
      <c r="H5" s="72">
        <v>-2.4</v>
      </c>
      <c r="I5" s="73">
        <v>-1.4</v>
      </c>
    </row>
    <row r="6" spans="1:9" ht="26">
      <c r="A6" s="165"/>
      <c r="B6" s="168"/>
      <c r="C6" s="54" t="s">
        <v>36</v>
      </c>
      <c r="D6" s="54" t="s">
        <v>100</v>
      </c>
      <c r="E6" s="74">
        <v>-1</v>
      </c>
      <c r="F6" s="74">
        <v>-0.3</v>
      </c>
      <c r="G6" s="74">
        <v>-0.7</v>
      </c>
      <c r="H6" s="74">
        <v>-1.8</v>
      </c>
      <c r="I6" s="75">
        <v>-0.8</v>
      </c>
    </row>
    <row r="7" spans="1:9" ht="26">
      <c r="A7" s="165"/>
      <c r="B7" s="169"/>
      <c r="C7" s="51" t="s">
        <v>38</v>
      </c>
      <c r="D7" s="51" t="s">
        <v>101</v>
      </c>
      <c r="E7" s="76">
        <v>-1</v>
      </c>
      <c r="F7" s="76">
        <v>-0.3</v>
      </c>
      <c r="G7" s="76">
        <v>-0.6</v>
      </c>
      <c r="H7" s="76">
        <v>-1.3</v>
      </c>
      <c r="I7" s="77">
        <v>-0.30000000000000004</v>
      </c>
    </row>
    <row r="8" spans="1:9" ht="26">
      <c r="A8" s="165"/>
      <c r="B8" s="170" t="s">
        <v>16</v>
      </c>
      <c r="C8" s="52" t="s">
        <v>34</v>
      </c>
      <c r="D8" s="52" t="s">
        <v>99</v>
      </c>
      <c r="E8" s="78">
        <v>33.1</v>
      </c>
      <c r="F8" s="78">
        <v>30.3</v>
      </c>
      <c r="G8" s="78">
        <v>23.2</v>
      </c>
      <c r="H8" s="78">
        <v>32.200000000000003</v>
      </c>
      <c r="I8" s="79">
        <v>-0.89999999999999858</v>
      </c>
    </row>
    <row r="9" spans="1:9" ht="26">
      <c r="A9" s="165"/>
      <c r="B9" s="171"/>
      <c r="C9" s="55" t="s">
        <v>36</v>
      </c>
      <c r="D9" s="55" t="s">
        <v>100</v>
      </c>
      <c r="E9" s="80">
        <v>33.1</v>
      </c>
      <c r="F9" s="80">
        <v>30.2</v>
      </c>
      <c r="G9" s="80">
        <v>22.5</v>
      </c>
      <c r="H9" s="80">
        <v>27.4</v>
      </c>
      <c r="I9" s="81">
        <v>-5.7000000000000028</v>
      </c>
    </row>
    <row r="10" spans="1:9" ht="26">
      <c r="A10" s="166"/>
      <c r="B10" s="172"/>
      <c r="C10" s="53" t="s">
        <v>38</v>
      </c>
      <c r="D10" s="53" t="s">
        <v>101</v>
      </c>
      <c r="E10" s="82">
        <v>33.1</v>
      </c>
      <c r="F10" s="82">
        <v>30.1</v>
      </c>
      <c r="G10" s="82">
        <v>21.7</v>
      </c>
      <c r="H10" s="82">
        <v>22.9</v>
      </c>
      <c r="I10" s="83">
        <v>-10.200000000000003</v>
      </c>
    </row>
    <row r="11" spans="1:9" ht="14.5" customHeight="1">
      <c r="A11" s="164" t="s">
        <v>40</v>
      </c>
      <c r="B11" s="167" t="s">
        <v>14</v>
      </c>
      <c r="C11" s="50" t="s">
        <v>34</v>
      </c>
      <c r="D11" s="50" t="s">
        <v>43</v>
      </c>
      <c r="E11" s="72">
        <v>-1</v>
      </c>
      <c r="F11" s="72">
        <v>-0.4</v>
      </c>
      <c r="G11" s="72">
        <v>-1</v>
      </c>
      <c r="H11" s="72">
        <v>-2.6</v>
      </c>
      <c r="I11" s="73">
        <v>-1.6</v>
      </c>
    </row>
    <row r="12" spans="1:9">
      <c r="A12" s="165"/>
      <c r="B12" s="168"/>
      <c r="C12" s="54" t="s">
        <v>36</v>
      </c>
      <c r="D12" s="54" t="s">
        <v>42</v>
      </c>
      <c r="E12" s="74">
        <v>-1</v>
      </c>
      <c r="F12" s="74">
        <v>-0.3</v>
      </c>
      <c r="G12" s="74">
        <v>-0.7</v>
      </c>
      <c r="H12" s="74">
        <v>-1.8</v>
      </c>
      <c r="I12" s="75">
        <v>-0.8</v>
      </c>
    </row>
    <row r="13" spans="1:9">
      <c r="A13" s="165"/>
      <c r="B13" s="169"/>
      <c r="C13" s="51" t="s">
        <v>38</v>
      </c>
      <c r="D13" s="51" t="s">
        <v>41</v>
      </c>
      <c r="E13" s="76">
        <v>-1</v>
      </c>
      <c r="F13" s="76">
        <v>-0.2</v>
      </c>
      <c r="G13" s="76">
        <v>-0.4</v>
      </c>
      <c r="H13" s="76">
        <v>-1</v>
      </c>
      <c r="I13" s="77">
        <v>0</v>
      </c>
    </row>
    <row r="14" spans="1:9">
      <c r="A14" s="165"/>
      <c r="B14" s="170" t="s">
        <v>16</v>
      </c>
      <c r="C14" s="52" t="s">
        <v>34</v>
      </c>
      <c r="D14" s="52" t="s">
        <v>43</v>
      </c>
      <c r="E14" s="78">
        <v>33.1</v>
      </c>
      <c r="F14" s="78">
        <v>30.7</v>
      </c>
      <c r="G14" s="78">
        <v>25.3</v>
      </c>
      <c r="H14" s="78">
        <v>35.700000000000003</v>
      </c>
      <c r="I14" s="79">
        <v>2.6000000000000014</v>
      </c>
    </row>
    <row r="15" spans="1:9">
      <c r="A15" s="165"/>
      <c r="B15" s="171"/>
      <c r="C15" s="55" t="s">
        <v>36</v>
      </c>
      <c r="D15" s="55" t="s">
        <v>42</v>
      </c>
      <c r="E15" s="80">
        <v>33.1</v>
      </c>
      <c r="F15" s="80">
        <v>30.2</v>
      </c>
      <c r="G15" s="80">
        <v>22.5</v>
      </c>
      <c r="H15" s="80">
        <v>27.4</v>
      </c>
      <c r="I15" s="81">
        <v>-5.7000000000000028</v>
      </c>
    </row>
    <row r="16" spans="1:9">
      <c r="A16" s="166"/>
      <c r="B16" s="172"/>
      <c r="C16" s="53" t="s">
        <v>38</v>
      </c>
      <c r="D16" s="53" t="s">
        <v>41</v>
      </c>
      <c r="E16" s="82">
        <v>33.1</v>
      </c>
      <c r="F16" s="82">
        <v>29.8</v>
      </c>
      <c r="G16" s="82">
        <v>19.600000000000001</v>
      </c>
      <c r="H16" s="82">
        <v>19</v>
      </c>
      <c r="I16" s="83">
        <v>-14.100000000000001</v>
      </c>
    </row>
    <row r="17" spans="1:9" ht="15" customHeight="1">
      <c r="A17" s="164" t="s">
        <v>44</v>
      </c>
      <c r="B17" s="167" t="s">
        <v>14</v>
      </c>
      <c r="C17" s="50" t="s">
        <v>34</v>
      </c>
      <c r="D17" s="50" t="s">
        <v>45</v>
      </c>
      <c r="E17" s="72">
        <v>-1</v>
      </c>
      <c r="F17" s="72">
        <v>-0.8</v>
      </c>
      <c r="G17" s="72">
        <v>-1.9</v>
      </c>
      <c r="H17" s="72">
        <v>-4.2</v>
      </c>
      <c r="I17" s="73">
        <v>-3.2</v>
      </c>
    </row>
    <row r="18" spans="1:9">
      <c r="A18" s="165"/>
      <c r="B18" s="168"/>
      <c r="C18" s="54" t="s">
        <v>36</v>
      </c>
      <c r="D18" s="54" t="s">
        <v>46</v>
      </c>
      <c r="E18" s="74">
        <v>-1</v>
      </c>
      <c r="F18" s="74">
        <v>-0.3</v>
      </c>
      <c r="G18" s="74">
        <v>-0.7</v>
      </c>
      <c r="H18" s="74">
        <v>-1.8</v>
      </c>
      <c r="I18" s="75">
        <v>-0.8</v>
      </c>
    </row>
    <row r="19" spans="1:9">
      <c r="A19" s="165"/>
      <c r="B19" s="169"/>
      <c r="C19" s="51" t="s">
        <v>38</v>
      </c>
      <c r="D19" s="51" t="s">
        <v>47</v>
      </c>
      <c r="E19" s="76">
        <v>-1</v>
      </c>
      <c r="F19" s="76">
        <v>0.2</v>
      </c>
      <c r="G19" s="76">
        <v>0.4</v>
      </c>
      <c r="H19" s="76">
        <v>0.5</v>
      </c>
      <c r="I19" s="77">
        <v>1.5</v>
      </c>
    </row>
    <row r="20" spans="1:9">
      <c r="A20" s="165"/>
      <c r="B20" s="170" t="s">
        <v>16</v>
      </c>
      <c r="C20" s="52" t="s">
        <v>34</v>
      </c>
      <c r="D20" s="52" t="s">
        <v>45</v>
      </c>
      <c r="E20" s="78">
        <v>33.1</v>
      </c>
      <c r="F20" s="78">
        <v>32.6</v>
      </c>
      <c r="G20" s="78">
        <v>33.5</v>
      </c>
      <c r="H20" s="78">
        <v>55.9</v>
      </c>
      <c r="I20" s="79">
        <v>22.799999999999997</v>
      </c>
    </row>
    <row r="21" spans="1:9">
      <c r="A21" s="165"/>
      <c r="B21" s="171"/>
      <c r="C21" s="55" t="s">
        <v>36</v>
      </c>
      <c r="D21" s="55" t="s">
        <v>46</v>
      </c>
      <c r="E21" s="80">
        <v>33.1</v>
      </c>
      <c r="F21" s="80">
        <v>30.2</v>
      </c>
      <c r="G21" s="80">
        <v>22.5</v>
      </c>
      <c r="H21" s="80">
        <v>27.4</v>
      </c>
      <c r="I21" s="81">
        <v>-5.7000000000000028</v>
      </c>
    </row>
    <row r="22" spans="1:9">
      <c r="A22" s="166"/>
      <c r="B22" s="172"/>
      <c r="C22" s="53" t="s">
        <v>38</v>
      </c>
      <c r="D22" s="53" t="s">
        <v>47</v>
      </c>
      <c r="E22" s="82">
        <v>33.1</v>
      </c>
      <c r="F22" s="82">
        <v>28</v>
      </c>
      <c r="G22" s="82">
        <v>12.3</v>
      </c>
      <c r="H22" s="82">
        <v>2.4</v>
      </c>
      <c r="I22" s="83">
        <v>-30.700000000000003</v>
      </c>
    </row>
    <row r="23" spans="1:9">
      <c r="A23" s="37"/>
      <c r="B23" s="37"/>
      <c r="C23" s="38"/>
      <c r="D23" s="39"/>
      <c r="E23" s="40"/>
      <c r="F23" s="40"/>
      <c r="G23" s="40"/>
      <c r="H23" s="38"/>
    </row>
    <row r="24" spans="1:9" ht="16">
      <c r="A24" s="5" t="s">
        <v>157</v>
      </c>
      <c r="B24" s="37"/>
      <c r="C24" s="38"/>
      <c r="D24" s="39"/>
      <c r="E24" s="40"/>
      <c r="F24" s="40"/>
      <c r="G24" s="40"/>
      <c r="H24" s="38"/>
    </row>
    <row r="25" spans="1:9" ht="16">
      <c r="A25" s="12"/>
      <c r="B25" s="37"/>
      <c r="C25" s="38"/>
      <c r="D25" s="39"/>
      <c r="E25" s="40"/>
      <c r="F25" s="40"/>
      <c r="G25" s="40"/>
      <c r="H25" s="38"/>
    </row>
    <row r="26" spans="1:9" ht="14.5" customHeight="1">
      <c r="A26" s="33"/>
      <c r="B26" s="34"/>
      <c r="C26" s="34"/>
      <c r="D26" s="34"/>
      <c r="E26" s="34"/>
      <c r="F26" s="34"/>
      <c r="G26" s="34"/>
      <c r="H26" s="35"/>
      <c r="I26" s="163" t="s">
        <v>98</v>
      </c>
    </row>
    <row r="27" spans="1:9" ht="44.5" customHeight="1">
      <c r="A27" s="16" t="s">
        <v>0</v>
      </c>
      <c r="B27" s="36" t="s">
        <v>31</v>
      </c>
      <c r="C27" s="36" t="s">
        <v>12</v>
      </c>
      <c r="D27" s="36" t="s">
        <v>32</v>
      </c>
      <c r="E27" s="56" t="s">
        <v>133</v>
      </c>
      <c r="F27" s="56" t="s">
        <v>134</v>
      </c>
      <c r="G27" s="56" t="s">
        <v>135</v>
      </c>
      <c r="H27" s="57" t="s">
        <v>136</v>
      </c>
      <c r="I27" s="163"/>
    </row>
    <row r="28" spans="1:9" ht="15" customHeight="1">
      <c r="A28" s="164" t="s">
        <v>48</v>
      </c>
      <c r="B28" s="167" t="s">
        <v>14</v>
      </c>
      <c r="C28" s="50" t="s">
        <v>34</v>
      </c>
      <c r="D28" s="50" t="s">
        <v>49</v>
      </c>
      <c r="E28" s="72">
        <v>-1</v>
      </c>
      <c r="F28" s="72">
        <v>-0.3</v>
      </c>
      <c r="G28" s="72">
        <v>-0.5</v>
      </c>
      <c r="H28" s="72">
        <v>-1.4</v>
      </c>
      <c r="I28" s="73">
        <v>-0.39999999999999991</v>
      </c>
    </row>
    <row r="29" spans="1:9" ht="15" customHeight="1">
      <c r="A29" s="165"/>
      <c r="B29" s="168"/>
      <c r="C29" s="54" t="s">
        <v>36</v>
      </c>
      <c r="D29" s="54" t="s">
        <v>50</v>
      </c>
      <c r="E29" s="74">
        <v>-1</v>
      </c>
      <c r="F29" s="74">
        <v>-0.3</v>
      </c>
      <c r="G29" s="74">
        <v>-0.7</v>
      </c>
      <c r="H29" s="74">
        <v>-1.8</v>
      </c>
      <c r="I29" s="75">
        <v>-0.8</v>
      </c>
    </row>
    <row r="30" spans="1:9" ht="15" customHeight="1">
      <c r="A30" s="165"/>
      <c r="B30" s="169"/>
      <c r="C30" s="51" t="s">
        <v>38</v>
      </c>
      <c r="D30" s="51" t="s">
        <v>51</v>
      </c>
      <c r="E30" s="76">
        <v>-1</v>
      </c>
      <c r="F30" s="76">
        <v>-0.3</v>
      </c>
      <c r="G30" s="76">
        <v>-1</v>
      </c>
      <c r="H30" s="76">
        <v>-2.2999999999999998</v>
      </c>
      <c r="I30" s="77">
        <v>-1.2999999999999998</v>
      </c>
    </row>
    <row r="31" spans="1:9" ht="15" customHeight="1">
      <c r="A31" s="165"/>
      <c r="B31" s="170" t="s">
        <v>16</v>
      </c>
      <c r="C31" s="52" t="s">
        <v>34</v>
      </c>
      <c r="D31" s="52" t="s">
        <v>49</v>
      </c>
      <c r="E31" s="78">
        <v>33.1</v>
      </c>
      <c r="F31" s="78">
        <v>29.8</v>
      </c>
      <c r="G31" s="78">
        <v>20.5</v>
      </c>
      <c r="H31" s="78">
        <v>22.4</v>
      </c>
      <c r="I31" s="79">
        <v>-10.700000000000003</v>
      </c>
    </row>
    <row r="32" spans="1:9" ht="15" customHeight="1">
      <c r="A32" s="165"/>
      <c r="B32" s="171"/>
      <c r="C32" s="55" t="s">
        <v>36</v>
      </c>
      <c r="D32" s="55" t="s">
        <v>50</v>
      </c>
      <c r="E32" s="80">
        <v>33.1</v>
      </c>
      <c r="F32" s="80">
        <v>30.2</v>
      </c>
      <c r="G32" s="80">
        <v>22.5</v>
      </c>
      <c r="H32" s="80">
        <v>27.4</v>
      </c>
      <c r="I32" s="81">
        <v>-5.7000000000000028</v>
      </c>
    </row>
    <row r="33" spans="1:9" ht="15" customHeight="1">
      <c r="A33" s="166"/>
      <c r="B33" s="172"/>
      <c r="C33" s="53" t="s">
        <v>38</v>
      </c>
      <c r="D33" s="53" t="s">
        <v>51</v>
      </c>
      <c r="E33" s="82">
        <v>33.1</v>
      </c>
      <c r="F33" s="82">
        <v>30.6</v>
      </c>
      <c r="G33" s="82">
        <v>24.8</v>
      </c>
      <c r="H33" s="82">
        <v>34</v>
      </c>
      <c r="I33" s="83">
        <v>0.89999999999999858</v>
      </c>
    </row>
    <row r="34" spans="1:9" ht="15" customHeight="1">
      <c r="A34" s="164" t="s">
        <v>102</v>
      </c>
      <c r="B34" s="167" t="s">
        <v>14</v>
      </c>
      <c r="C34" s="50" t="s">
        <v>34</v>
      </c>
      <c r="D34" s="50" t="s">
        <v>53</v>
      </c>
      <c r="E34" s="72">
        <v>-1</v>
      </c>
      <c r="F34" s="72">
        <v>0.9</v>
      </c>
      <c r="G34" s="72">
        <v>1.1000000000000001</v>
      </c>
      <c r="H34" s="72">
        <v>0.5</v>
      </c>
      <c r="I34" s="73">
        <v>1.5</v>
      </c>
    </row>
    <row r="35" spans="1:9" ht="15" customHeight="1">
      <c r="A35" s="165"/>
      <c r="B35" s="168"/>
      <c r="C35" s="54" t="s">
        <v>36</v>
      </c>
      <c r="D35" s="54" t="s">
        <v>54</v>
      </c>
      <c r="E35" s="74">
        <v>-1</v>
      </c>
      <c r="F35" s="74">
        <v>-0.3</v>
      </c>
      <c r="G35" s="74">
        <v>-0.7</v>
      </c>
      <c r="H35" s="74">
        <v>-1.8</v>
      </c>
      <c r="I35" s="75">
        <v>-0.8</v>
      </c>
    </row>
    <row r="36" spans="1:9" ht="15" customHeight="1">
      <c r="A36" s="165"/>
      <c r="B36" s="169"/>
      <c r="C36" s="51" t="s">
        <v>38</v>
      </c>
      <c r="D36" s="51" t="s">
        <v>55</v>
      </c>
      <c r="E36" s="76">
        <v>-1</v>
      </c>
      <c r="F36" s="76">
        <v>-1.4</v>
      </c>
      <c r="G36" s="76">
        <v>-2.5</v>
      </c>
      <c r="H36" s="76">
        <v>-4.2</v>
      </c>
      <c r="I36" s="77">
        <v>-3.2</v>
      </c>
    </row>
    <row r="37" spans="1:9" ht="15" customHeight="1">
      <c r="A37" s="165"/>
      <c r="B37" s="170" t="s">
        <v>16</v>
      </c>
      <c r="C37" s="52" t="s">
        <v>34</v>
      </c>
      <c r="D37" s="52" t="s">
        <v>53</v>
      </c>
      <c r="E37" s="78">
        <v>33.1</v>
      </c>
      <c r="F37" s="78">
        <v>26</v>
      </c>
      <c r="G37" s="78">
        <v>4</v>
      </c>
      <c r="H37" s="78">
        <v>0.6</v>
      </c>
      <c r="I37" s="79">
        <v>-32.5</v>
      </c>
    </row>
    <row r="38" spans="1:9" ht="15" customHeight="1">
      <c r="A38" s="165"/>
      <c r="B38" s="171"/>
      <c r="C38" s="55" t="s">
        <v>36</v>
      </c>
      <c r="D38" s="55" t="s">
        <v>54</v>
      </c>
      <c r="E38" s="80">
        <v>33.1</v>
      </c>
      <c r="F38" s="80">
        <v>30.2</v>
      </c>
      <c r="G38" s="80">
        <v>22.5</v>
      </c>
      <c r="H38" s="80">
        <v>27.4</v>
      </c>
      <c r="I38" s="81">
        <v>-5.7000000000000028</v>
      </c>
    </row>
    <row r="39" spans="1:9" ht="15" customHeight="1">
      <c r="A39" s="166"/>
      <c r="B39" s="172"/>
      <c r="C39" s="53" t="s">
        <v>38</v>
      </c>
      <c r="D39" s="53" t="s">
        <v>55</v>
      </c>
      <c r="E39" s="82">
        <v>33.1</v>
      </c>
      <c r="F39" s="82">
        <v>34.4</v>
      </c>
      <c r="G39" s="82">
        <v>41.2</v>
      </c>
      <c r="H39" s="82">
        <v>62</v>
      </c>
      <c r="I39" s="83">
        <v>28.9</v>
      </c>
    </row>
    <row r="40" spans="1:9" ht="14.5" customHeight="1">
      <c r="A40" s="164" t="s">
        <v>56</v>
      </c>
      <c r="B40" s="167" t="s">
        <v>14</v>
      </c>
      <c r="C40" s="50" t="s">
        <v>34</v>
      </c>
      <c r="D40" s="50" t="s">
        <v>57</v>
      </c>
      <c r="E40" s="72">
        <v>-1</v>
      </c>
      <c r="F40" s="72">
        <v>-1.4</v>
      </c>
      <c r="G40" s="72">
        <v>-2.5</v>
      </c>
      <c r="H40" s="72">
        <v>-4.2</v>
      </c>
      <c r="I40" s="73">
        <v>-3.2</v>
      </c>
    </row>
    <row r="41" spans="1:9">
      <c r="A41" s="165"/>
      <c r="B41" s="168"/>
      <c r="C41" s="54" t="s">
        <v>36</v>
      </c>
      <c r="D41" s="54" t="s">
        <v>58</v>
      </c>
      <c r="E41" s="74">
        <v>-1</v>
      </c>
      <c r="F41" s="74">
        <v>-0.3</v>
      </c>
      <c r="G41" s="74">
        <v>-0.7</v>
      </c>
      <c r="H41" s="74">
        <v>-1.8</v>
      </c>
      <c r="I41" s="75">
        <v>-0.8</v>
      </c>
    </row>
    <row r="42" spans="1:9">
      <c r="A42" s="165"/>
      <c r="B42" s="169"/>
      <c r="C42" s="51" t="s">
        <v>38</v>
      </c>
      <c r="D42" s="51" t="s">
        <v>59</v>
      </c>
      <c r="E42" s="76">
        <v>-1</v>
      </c>
      <c r="F42" s="76">
        <v>0.8</v>
      </c>
      <c r="G42" s="76">
        <v>1.1000000000000001</v>
      </c>
      <c r="H42" s="76">
        <v>0.5</v>
      </c>
      <c r="I42" s="77">
        <v>1.5</v>
      </c>
    </row>
    <row r="43" spans="1:9">
      <c r="A43" s="165"/>
      <c r="B43" s="170" t="s">
        <v>16</v>
      </c>
      <c r="C43" s="52" t="s">
        <v>34</v>
      </c>
      <c r="D43" s="52" t="s">
        <v>57</v>
      </c>
      <c r="E43" s="78">
        <v>33.1</v>
      </c>
      <c r="F43" s="78">
        <v>33.200000000000003</v>
      </c>
      <c r="G43" s="78">
        <v>40.299999999999997</v>
      </c>
      <c r="H43" s="78">
        <v>61.5</v>
      </c>
      <c r="I43" s="79">
        <v>28.4</v>
      </c>
    </row>
    <row r="44" spans="1:9">
      <c r="A44" s="165"/>
      <c r="B44" s="171"/>
      <c r="C44" s="55" t="s">
        <v>36</v>
      </c>
      <c r="D44" s="55" t="s">
        <v>58</v>
      </c>
      <c r="E44" s="80">
        <v>33.1</v>
      </c>
      <c r="F44" s="80">
        <v>30.2</v>
      </c>
      <c r="G44" s="80">
        <v>22.5</v>
      </c>
      <c r="H44" s="80">
        <v>27.4</v>
      </c>
      <c r="I44" s="81">
        <v>-5.7000000000000028</v>
      </c>
    </row>
    <row r="45" spans="1:9">
      <c r="A45" s="166"/>
      <c r="B45" s="172"/>
      <c r="C45" s="53" t="s">
        <v>38</v>
      </c>
      <c r="D45" s="53" t="s">
        <v>59</v>
      </c>
      <c r="E45" s="82">
        <v>33.1</v>
      </c>
      <c r="F45" s="82">
        <v>27.2</v>
      </c>
      <c r="G45" s="82">
        <v>4.8</v>
      </c>
      <c r="H45" s="82">
        <v>0.6</v>
      </c>
      <c r="I45" s="83">
        <v>-32.5</v>
      </c>
    </row>
    <row r="46" spans="1:9">
      <c r="A46" s="173"/>
      <c r="B46" s="173"/>
      <c r="C46" s="173"/>
      <c r="D46" s="173"/>
      <c r="E46" s="173"/>
      <c r="F46" s="173"/>
      <c r="G46" s="18"/>
    </row>
    <row r="47" spans="1:9">
      <c r="A47" s="89" t="s">
        <v>60</v>
      </c>
      <c r="B47" s="89"/>
      <c r="C47" s="89"/>
      <c r="D47" s="89"/>
      <c r="E47" s="89"/>
      <c r="F47" s="89"/>
      <c r="G47" s="89"/>
      <c r="H47" s="89"/>
      <c r="I47" s="89"/>
    </row>
    <row r="48" spans="1:9">
      <c r="A48" s="89"/>
      <c r="B48" s="89"/>
      <c r="C48" s="89"/>
      <c r="D48" s="89"/>
      <c r="E48" s="89"/>
      <c r="F48" s="89"/>
      <c r="G48" s="89"/>
      <c r="H48" s="89"/>
      <c r="I48" s="89"/>
    </row>
    <row r="49" spans="1:9">
      <c r="A49" s="89" t="s">
        <v>61</v>
      </c>
      <c r="B49" s="89"/>
      <c r="C49" s="89"/>
      <c r="D49" s="89"/>
      <c r="E49" s="89"/>
      <c r="F49" s="89"/>
      <c r="G49" s="89"/>
      <c r="H49" s="89"/>
      <c r="I49" s="89"/>
    </row>
    <row r="50" spans="1:9" ht="57.65" customHeight="1">
      <c r="A50" s="174" t="s">
        <v>159</v>
      </c>
      <c r="B50" s="174"/>
      <c r="C50" s="174"/>
      <c r="D50" s="174"/>
      <c r="E50" s="174"/>
      <c r="F50" s="174"/>
      <c r="G50" s="174"/>
      <c r="H50" s="174"/>
      <c r="I50" s="174"/>
    </row>
    <row r="51" spans="1:9" ht="29.5" customHeight="1">
      <c r="A51" s="174" t="s">
        <v>160</v>
      </c>
      <c r="B51" s="174"/>
      <c r="C51" s="174"/>
      <c r="D51" s="174"/>
      <c r="E51" s="174"/>
      <c r="F51" s="174"/>
      <c r="G51" s="174"/>
      <c r="H51" s="174"/>
      <c r="I51" s="174"/>
    </row>
    <row r="52" spans="1:9" ht="18" customHeight="1">
      <c r="A52" s="174" t="s">
        <v>62</v>
      </c>
      <c r="B52" s="174"/>
      <c r="C52" s="174"/>
      <c r="D52" s="174"/>
      <c r="E52" s="174"/>
      <c r="F52" s="174"/>
      <c r="G52" s="174"/>
      <c r="H52" s="174"/>
      <c r="I52" s="174"/>
    </row>
    <row r="53" spans="1:9">
      <c r="A53" s="14"/>
    </row>
    <row r="54" spans="1:9">
      <c r="A54" s="14"/>
    </row>
    <row r="55" spans="1:9">
      <c r="A55" s="14"/>
    </row>
    <row r="56" spans="1:9">
      <c r="A56" s="14"/>
    </row>
  </sheetData>
  <mergeCells count="24">
    <mergeCell ref="A46:F46"/>
    <mergeCell ref="A50:I50"/>
    <mergeCell ref="A51:I51"/>
    <mergeCell ref="A52:I52"/>
    <mergeCell ref="A34:A39"/>
    <mergeCell ref="B34:B36"/>
    <mergeCell ref="B37:B39"/>
    <mergeCell ref="A40:A45"/>
    <mergeCell ref="B40:B42"/>
    <mergeCell ref="B43:B45"/>
    <mergeCell ref="A17:A22"/>
    <mergeCell ref="B17:B19"/>
    <mergeCell ref="B20:B22"/>
    <mergeCell ref="I26:I27"/>
    <mergeCell ref="A28:A33"/>
    <mergeCell ref="B28:B30"/>
    <mergeCell ref="B31:B33"/>
    <mergeCell ref="I3:I4"/>
    <mergeCell ref="A5:A10"/>
    <mergeCell ref="B5:B7"/>
    <mergeCell ref="B8:B10"/>
    <mergeCell ref="A11:A16"/>
    <mergeCell ref="B11:B13"/>
    <mergeCell ref="B14:B16"/>
  </mergeCells>
  <phoneticPr fontId="87"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E64F11-6988-44DB-AFC6-6CDDEF285749}">
  <dimension ref="A1:AS50"/>
  <sheetViews>
    <sheetView zoomScaleNormal="100" workbookViewId="0">
      <pane xSplit="4" ySplit="3" topLeftCell="E4" activePane="bottomRight" state="frozen"/>
      <selection pane="topRight" activeCell="E1" sqref="E1"/>
      <selection pane="bottomLeft" activeCell="A4" sqref="A4"/>
      <selection pane="bottomRight"/>
    </sheetView>
  </sheetViews>
  <sheetFormatPr defaultColWidth="9.1796875" defaultRowHeight="14.5"/>
  <cols>
    <col min="1" max="1" width="19.54296875" style="13" customWidth="1"/>
    <col min="2" max="2" width="24.54296875" style="13" customWidth="1"/>
    <col min="3" max="3" width="13.453125" style="13" customWidth="1"/>
    <col min="4" max="4" width="48.7265625" style="13" bestFit="1" customWidth="1"/>
    <col min="5" max="16" width="9.7265625" style="110" customWidth="1"/>
    <col min="17" max="17" width="9.453125" style="110" customWidth="1"/>
    <col min="18" max="45" width="9.1796875" style="110"/>
    <col min="46" max="16384" width="9.1796875" style="13"/>
  </cols>
  <sheetData>
    <row r="1" spans="1:45" ht="16">
      <c r="A1" s="5" t="s">
        <v>107</v>
      </c>
      <c r="B1" s="12"/>
    </row>
    <row r="2" spans="1:45" ht="16">
      <c r="A2" s="12"/>
      <c r="B2" s="12"/>
    </row>
    <row r="3" spans="1:45">
      <c r="A3" s="70" t="s">
        <v>0</v>
      </c>
      <c r="B3" s="71" t="s">
        <v>31</v>
      </c>
      <c r="C3" s="71" t="s">
        <v>12</v>
      </c>
      <c r="D3" s="71" t="s">
        <v>32</v>
      </c>
      <c r="E3" s="111" t="s">
        <v>17</v>
      </c>
      <c r="F3" s="111" t="s">
        <v>13</v>
      </c>
      <c r="G3" s="111" t="s">
        <v>2</v>
      </c>
      <c r="H3" s="111" t="s">
        <v>3</v>
      </c>
      <c r="I3" s="111" t="s">
        <v>4</v>
      </c>
      <c r="J3" s="111" t="s">
        <v>5</v>
      </c>
      <c r="K3" s="111" t="s">
        <v>6</v>
      </c>
      <c r="L3" s="111" t="s">
        <v>7</v>
      </c>
      <c r="M3" s="111" t="s">
        <v>8</v>
      </c>
      <c r="N3" s="111" t="s">
        <v>9</v>
      </c>
      <c r="O3" s="111" t="s">
        <v>10</v>
      </c>
      <c r="P3" s="111" t="s">
        <v>11</v>
      </c>
      <c r="Q3" s="111" t="s">
        <v>256</v>
      </c>
      <c r="R3" s="111" t="s">
        <v>257</v>
      </c>
      <c r="S3" s="111" t="s">
        <v>258</v>
      </c>
      <c r="T3" s="111" t="s">
        <v>259</v>
      </c>
      <c r="U3" s="111" t="s">
        <v>260</v>
      </c>
      <c r="V3" s="111" t="s">
        <v>261</v>
      </c>
      <c r="W3" s="111" t="s">
        <v>262</v>
      </c>
      <c r="X3" s="111" t="s">
        <v>263</v>
      </c>
      <c r="Y3" s="111" t="s">
        <v>264</v>
      </c>
      <c r="Z3" s="111" t="s">
        <v>265</v>
      </c>
      <c r="AA3" s="111" t="s">
        <v>266</v>
      </c>
      <c r="AB3" s="111" t="s">
        <v>267</v>
      </c>
      <c r="AC3" s="111" t="s">
        <v>268</v>
      </c>
      <c r="AD3" s="111" t="s">
        <v>269</v>
      </c>
      <c r="AE3" s="111" t="s">
        <v>270</v>
      </c>
      <c r="AF3" s="111" t="s">
        <v>271</v>
      </c>
      <c r="AG3" s="111" t="s">
        <v>272</v>
      </c>
      <c r="AH3" s="111" t="s">
        <v>273</v>
      </c>
      <c r="AI3" s="111" t="s">
        <v>274</v>
      </c>
      <c r="AJ3" s="111" t="s">
        <v>275</v>
      </c>
      <c r="AK3" s="111" t="s">
        <v>276</v>
      </c>
      <c r="AL3" s="111" t="s">
        <v>277</v>
      </c>
      <c r="AM3" s="111" t="s">
        <v>278</v>
      </c>
      <c r="AN3" s="111" t="s">
        <v>279</v>
      </c>
      <c r="AO3" s="111" t="s">
        <v>280</v>
      </c>
      <c r="AP3" s="111" t="s">
        <v>281</v>
      </c>
      <c r="AQ3" s="111" t="s">
        <v>282</v>
      </c>
      <c r="AR3" s="111" t="s">
        <v>283</v>
      </c>
      <c r="AS3" s="112" t="s">
        <v>284</v>
      </c>
    </row>
    <row r="4" spans="1:45" ht="15" customHeight="1">
      <c r="A4" s="175" t="s">
        <v>33</v>
      </c>
      <c r="B4" s="178" t="s">
        <v>14</v>
      </c>
      <c r="C4" s="58" t="s">
        <v>34</v>
      </c>
      <c r="D4" s="59" t="s">
        <v>35</v>
      </c>
      <c r="E4" s="113">
        <v>-1</v>
      </c>
      <c r="F4" s="113">
        <v>-1</v>
      </c>
      <c r="G4" s="113">
        <v>-1</v>
      </c>
      <c r="H4" s="113">
        <v>-1</v>
      </c>
      <c r="I4" s="113">
        <v>-0.7</v>
      </c>
      <c r="J4" s="113">
        <v>-0.8</v>
      </c>
      <c r="K4" s="113">
        <v>-0.5</v>
      </c>
      <c r="L4" s="113">
        <v>-0.6</v>
      </c>
      <c r="M4" s="113">
        <v>-0.6</v>
      </c>
      <c r="N4" s="113">
        <v>-0.6</v>
      </c>
      <c r="O4" s="113">
        <v>-0.4</v>
      </c>
      <c r="P4" s="113">
        <v>-0.3</v>
      </c>
      <c r="Q4" s="113">
        <v>-0.4</v>
      </c>
      <c r="R4" s="113">
        <v>-0.4</v>
      </c>
      <c r="S4" s="113">
        <v>-0.4</v>
      </c>
      <c r="T4" s="113">
        <v>-0.6</v>
      </c>
      <c r="U4" s="113">
        <v>-0.4</v>
      </c>
      <c r="V4" s="113">
        <v>-0.4</v>
      </c>
      <c r="W4" s="113">
        <v>-0.4</v>
      </c>
      <c r="X4" s="113">
        <v>-0.4</v>
      </c>
      <c r="Y4" s="113">
        <v>-0.5</v>
      </c>
      <c r="Z4" s="113">
        <v>-0.7</v>
      </c>
      <c r="AA4" s="113">
        <v>-0.6</v>
      </c>
      <c r="AB4" s="113">
        <v>-0.6</v>
      </c>
      <c r="AC4" s="113">
        <v>-0.7</v>
      </c>
      <c r="AD4" s="113">
        <v>-0.8</v>
      </c>
      <c r="AE4" s="113">
        <v>-0.7</v>
      </c>
      <c r="AF4" s="113">
        <v>-0.8</v>
      </c>
      <c r="AG4" s="113">
        <v>-0.9</v>
      </c>
      <c r="AH4" s="113">
        <v>-1</v>
      </c>
      <c r="AI4" s="113">
        <v>-1</v>
      </c>
      <c r="AJ4" s="113">
        <v>-1.1000000000000001</v>
      </c>
      <c r="AK4" s="113">
        <v>-1.2</v>
      </c>
      <c r="AL4" s="113">
        <v>-1.3</v>
      </c>
      <c r="AM4" s="113">
        <v>-1.4</v>
      </c>
      <c r="AN4" s="113">
        <v>-1.6</v>
      </c>
      <c r="AO4" s="113">
        <v>-1.7</v>
      </c>
      <c r="AP4" s="113">
        <v>-1.8</v>
      </c>
      <c r="AQ4" s="113">
        <v>-2</v>
      </c>
      <c r="AR4" s="113">
        <v>-2.2000000000000002</v>
      </c>
      <c r="AS4" s="114">
        <v>-2.4</v>
      </c>
    </row>
    <row r="5" spans="1:45">
      <c r="A5" s="176"/>
      <c r="B5" s="179"/>
      <c r="C5" s="60" t="s">
        <v>36</v>
      </c>
      <c r="D5" s="61" t="s">
        <v>37</v>
      </c>
      <c r="E5" s="115">
        <v>-1</v>
      </c>
      <c r="F5" s="115">
        <v>-1</v>
      </c>
      <c r="G5" s="115">
        <v>-1</v>
      </c>
      <c r="H5" s="115">
        <v>-1</v>
      </c>
      <c r="I5" s="115">
        <v>-0.7</v>
      </c>
      <c r="J5" s="115">
        <v>-0.8</v>
      </c>
      <c r="K5" s="115">
        <v>-0.5</v>
      </c>
      <c r="L5" s="115">
        <v>-0.6</v>
      </c>
      <c r="M5" s="115">
        <v>-0.6</v>
      </c>
      <c r="N5" s="115">
        <v>-0.6</v>
      </c>
      <c r="O5" s="115">
        <v>-0.4</v>
      </c>
      <c r="P5" s="115">
        <v>-0.3</v>
      </c>
      <c r="Q5" s="115">
        <v>-0.4</v>
      </c>
      <c r="R5" s="115">
        <v>-0.4</v>
      </c>
      <c r="S5" s="115">
        <v>-0.4</v>
      </c>
      <c r="T5" s="115">
        <v>-0.6</v>
      </c>
      <c r="U5" s="115">
        <v>-0.4</v>
      </c>
      <c r="V5" s="115">
        <v>-0.4</v>
      </c>
      <c r="W5" s="115">
        <v>-0.4</v>
      </c>
      <c r="X5" s="115">
        <v>-0.4</v>
      </c>
      <c r="Y5" s="115">
        <v>-0.4</v>
      </c>
      <c r="Z5" s="115">
        <v>-0.7</v>
      </c>
      <c r="AA5" s="115">
        <v>-0.5</v>
      </c>
      <c r="AB5" s="115">
        <v>-0.5</v>
      </c>
      <c r="AC5" s="115">
        <v>-0.7</v>
      </c>
      <c r="AD5" s="115">
        <v>-0.7</v>
      </c>
      <c r="AE5" s="115">
        <v>-0.6</v>
      </c>
      <c r="AF5" s="115">
        <v>-0.7</v>
      </c>
      <c r="AG5" s="115">
        <v>-0.7</v>
      </c>
      <c r="AH5" s="115">
        <v>-0.8</v>
      </c>
      <c r="AI5" s="115">
        <v>-0.8</v>
      </c>
      <c r="AJ5" s="115">
        <v>-0.9</v>
      </c>
      <c r="AK5" s="115">
        <v>-0.9</v>
      </c>
      <c r="AL5" s="115">
        <v>-1</v>
      </c>
      <c r="AM5" s="115">
        <v>-1.1000000000000001</v>
      </c>
      <c r="AN5" s="115">
        <v>-1.2</v>
      </c>
      <c r="AO5" s="115">
        <v>-1.3</v>
      </c>
      <c r="AP5" s="115">
        <v>-1.4</v>
      </c>
      <c r="AQ5" s="115">
        <v>-1.5</v>
      </c>
      <c r="AR5" s="115">
        <v>-1.6</v>
      </c>
      <c r="AS5" s="116">
        <v>-1.8</v>
      </c>
    </row>
    <row r="6" spans="1:45">
      <c r="A6" s="176"/>
      <c r="B6" s="180"/>
      <c r="C6" s="62" t="s">
        <v>38</v>
      </c>
      <c r="D6" s="63" t="s">
        <v>39</v>
      </c>
      <c r="E6" s="117">
        <v>-1</v>
      </c>
      <c r="F6" s="117">
        <v>-1</v>
      </c>
      <c r="G6" s="117">
        <v>-1</v>
      </c>
      <c r="H6" s="117">
        <v>-1</v>
      </c>
      <c r="I6" s="117">
        <v>-0.7</v>
      </c>
      <c r="J6" s="117">
        <v>-0.8</v>
      </c>
      <c r="K6" s="117">
        <v>-0.5</v>
      </c>
      <c r="L6" s="117">
        <v>-0.6</v>
      </c>
      <c r="M6" s="117">
        <v>-0.6</v>
      </c>
      <c r="N6" s="117">
        <v>-0.6</v>
      </c>
      <c r="O6" s="117">
        <v>-0.4</v>
      </c>
      <c r="P6" s="117">
        <v>-0.3</v>
      </c>
      <c r="Q6" s="117">
        <v>-0.4</v>
      </c>
      <c r="R6" s="117">
        <v>-0.4</v>
      </c>
      <c r="S6" s="117">
        <v>-0.4</v>
      </c>
      <c r="T6" s="117">
        <v>-0.5</v>
      </c>
      <c r="U6" s="117">
        <v>-0.3</v>
      </c>
      <c r="V6" s="117">
        <v>-0.4</v>
      </c>
      <c r="W6" s="117">
        <v>-0.4</v>
      </c>
      <c r="X6" s="117">
        <v>-0.4</v>
      </c>
      <c r="Y6" s="117">
        <v>-0.4</v>
      </c>
      <c r="Z6" s="117">
        <v>-0.7</v>
      </c>
      <c r="AA6" s="117">
        <v>-0.5</v>
      </c>
      <c r="AB6" s="117">
        <v>-0.5</v>
      </c>
      <c r="AC6" s="117">
        <v>-0.6</v>
      </c>
      <c r="AD6" s="117">
        <v>-0.6</v>
      </c>
      <c r="AE6" s="117">
        <v>-0.6</v>
      </c>
      <c r="AF6" s="117">
        <v>-0.6</v>
      </c>
      <c r="AG6" s="117">
        <v>-0.6</v>
      </c>
      <c r="AH6" s="117">
        <v>-0.6</v>
      </c>
      <c r="AI6" s="117">
        <v>-0.6</v>
      </c>
      <c r="AJ6" s="117">
        <v>-0.7</v>
      </c>
      <c r="AK6" s="117">
        <v>-0.7</v>
      </c>
      <c r="AL6" s="117">
        <v>-0.7</v>
      </c>
      <c r="AM6" s="117">
        <v>-0.8</v>
      </c>
      <c r="AN6" s="117">
        <v>-0.9</v>
      </c>
      <c r="AO6" s="117">
        <v>-0.9</v>
      </c>
      <c r="AP6" s="117">
        <v>-1</v>
      </c>
      <c r="AQ6" s="117">
        <v>-1.1000000000000001</v>
      </c>
      <c r="AR6" s="117">
        <v>-1.1000000000000001</v>
      </c>
      <c r="AS6" s="118">
        <v>-1.3</v>
      </c>
    </row>
    <row r="7" spans="1:45">
      <c r="A7" s="176"/>
      <c r="B7" s="181" t="s">
        <v>16</v>
      </c>
      <c r="C7" s="64" t="s">
        <v>34</v>
      </c>
      <c r="D7" s="65" t="s">
        <v>35</v>
      </c>
      <c r="E7" s="119">
        <v>33.1</v>
      </c>
      <c r="F7" s="119">
        <v>34</v>
      </c>
      <c r="G7" s="119">
        <v>35.200000000000003</v>
      </c>
      <c r="H7" s="119">
        <v>35.799999999999997</v>
      </c>
      <c r="I7" s="119">
        <v>35.6</v>
      </c>
      <c r="J7" s="119">
        <v>35.4</v>
      </c>
      <c r="K7" s="119">
        <v>34.700000000000003</v>
      </c>
      <c r="L7" s="119">
        <v>33.799999999999997</v>
      </c>
      <c r="M7" s="119">
        <v>33</v>
      </c>
      <c r="N7" s="119">
        <v>32.200000000000003</v>
      </c>
      <c r="O7" s="119">
        <v>31.4</v>
      </c>
      <c r="P7" s="119">
        <v>30.3</v>
      </c>
      <c r="Q7" s="119">
        <v>29.6</v>
      </c>
      <c r="R7" s="119">
        <v>28.7</v>
      </c>
      <c r="S7" s="119">
        <v>28</v>
      </c>
      <c r="T7" s="119">
        <v>27.3</v>
      </c>
      <c r="U7" s="119">
        <v>26.6</v>
      </c>
      <c r="V7" s="119">
        <v>26</v>
      </c>
      <c r="W7" s="119">
        <v>25.4</v>
      </c>
      <c r="X7" s="119">
        <v>24.9</v>
      </c>
      <c r="Y7" s="119">
        <v>24.4</v>
      </c>
      <c r="Z7" s="119">
        <v>24.1</v>
      </c>
      <c r="AA7" s="119">
        <v>23.7</v>
      </c>
      <c r="AB7" s="119">
        <v>23.5</v>
      </c>
      <c r="AC7" s="119">
        <v>23.4</v>
      </c>
      <c r="AD7" s="119">
        <v>23.2</v>
      </c>
      <c r="AE7" s="119">
        <v>23.2</v>
      </c>
      <c r="AF7" s="119">
        <v>23.2</v>
      </c>
      <c r="AG7" s="119">
        <v>23.3</v>
      </c>
      <c r="AH7" s="119">
        <v>23.5</v>
      </c>
      <c r="AI7" s="119">
        <v>23.7</v>
      </c>
      <c r="AJ7" s="119">
        <v>24.1</v>
      </c>
      <c r="AK7" s="119">
        <v>24.5</v>
      </c>
      <c r="AL7" s="119">
        <v>25</v>
      </c>
      <c r="AM7" s="119">
        <v>25.7</v>
      </c>
      <c r="AN7" s="119">
        <v>26.4</v>
      </c>
      <c r="AO7" s="119">
        <v>27.3</v>
      </c>
      <c r="AP7" s="119">
        <v>28.4</v>
      </c>
      <c r="AQ7" s="119">
        <v>29.5</v>
      </c>
      <c r="AR7" s="119">
        <v>30.8</v>
      </c>
      <c r="AS7" s="120">
        <v>32.200000000000003</v>
      </c>
    </row>
    <row r="8" spans="1:45">
      <c r="A8" s="176"/>
      <c r="B8" s="182"/>
      <c r="C8" s="66" t="s">
        <v>36</v>
      </c>
      <c r="D8" s="67" t="s">
        <v>37</v>
      </c>
      <c r="E8" s="121">
        <v>33.1</v>
      </c>
      <c r="F8" s="121">
        <v>34</v>
      </c>
      <c r="G8" s="121">
        <v>35.200000000000003</v>
      </c>
      <c r="H8" s="121">
        <v>35.799999999999997</v>
      </c>
      <c r="I8" s="121">
        <v>35.6</v>
      </c>
      <c r="J8" s="121">
        <v>35.4</v>
      </c>
      <c r="K8" s="121">
        <v>34.700000000000003</v>
      </c>
      <c r="L8" s="121">
        <v>33.700000000000003</v>
      </c>
      <c r="M8" s="121">
        <v>33</v>
      </c>
      <c r="N8" s="121">
        <v>32.1</v>
      </c>
      <c r="O8" s="121">
        <v>31.3</v>
      </c>
      <c r="P8" s="121">
        <v>30.2</v>
      </c>
      <c r="Q8" s="121">
        <v>29.4</v>
      </c>
      <c r="R8" s="121">
        <v>28.5</v>
      </c>
      <c r="S8" s="121">
        <v>27.7</v>
      </c>
      <c r="T8" s="121">
        <v>27</v>
      </c>
      <c r="U8" s="121">
        <v>26.3</v>
      </c>
      <c r="V8" s="121">
        <v>25.7</v>
      </c>
      <c r="W8" s="121">
        <v>25.1</v>
      </c>
      <c r="X8" s="121">
        <v>24.5</v>
      </c>
      <c r="Y8" s="121">
        <v>24</v>
      </c>
      <c r="Z8" s="121">
        <v>23.6</v>
      </c>
      <c r="AA8" s="121">
        <v>23.2</v>
      </c>
      <c r="AB8" s="121">
        <v>22.9</v>
      </c>
      <c r="AC8" s="121">
        <v>22.7</v>
      </c>
      <c r="AD8" s="121">
        <v>22.5</v>
      </c>
      <c r="AE8" s="121">
        <v>22.4</v>
      </c>
      <c r="AF8" s="121">
        <v>22.3</v>
      </c>
      <c r="AG8" s="121">
        <v>22.2</v>
      </c>
      <c r="AH8" s="121">
        <v>22.3</v>
      </c>
      <c r="AI8" s="121">
        <v>22.3</v>
      </c>
      <c r="AJ8" s="121">
        <v>22.4</v>
      </c>
      <c r="AK8" s="121">
        <v>22.6</v>
      </c>
      <c r="AL8" s="121">
        <v>22.9</v>
      </c>
      <c r="AM8" s="121">
        <v>23.3</v>
      </c>
      <c r="AN8" s="121">
        <v>23.7</v>
      </c>
      <c r="AO8" s="121">
        <v>24.2</v>
      </c>
      <c r="AP8" s="121">
        <v>24.9</v>
      </c>
      <c r="AQ8" s="121">
        <v>25.6</v>
      </c>
      <c r="AR8" s="121">
        <v>26.4</v>
      </c>
      <c r="AS8" s="122">
        <v>27.4</v>
      </c>
    </row>
    <row r="9" spans="1:45">
      <c r="A9" s="177"/>
      <c r="B9" s="183"/>
      <c r="C9" s="68" t="s">
        <v>38</v>
      </c>
      <c r="D9" s="69" t="s">
        <v>39</v>
      </c>
      <c r="E9" s="123">
        <v>33.1</v>
      </c>
      <c r="F9" s="123">
        <v>34</v>
      </c>
      <c r="G9" s="123">
        <v>35.200000000000003</v>
      </c>
      <c r="H9" s="123">
        <v>35.799999999999997</v>
      </c>
      <c r="I9" s="123">
        <v>35.6</v>
      </c>
      <c r="J9" s="123">
        <v>35.4</v>
      </c>
      <c r="K9" s="123">
        <v>34.700000000000003</v>
      </c>
      <c r="L9" s="123">
        <v>33.799999999999997</v>
      </c>
      <c r="M9" s="123">
        <v>33</v>
      </c>
      <c r="N9" s="123">
        <v>32.1</v>
      </c>
      <c r="O9" s="123">
        <v>31.3</v>
      </c>
      <c r="P9" s="123">
        <v>30.1</v>
      </c>
      <c r="Q9" s="123">
        <v>29.3</v>
      </c>
      <c r="R9" s="123">
        <v>28.3</v>
      </c>
      <c r="S9" s="123">
        <v>27.5</v>
      </c>
      <c r="T9" s="123">
        <v>26.8</v>
      </c>
      <c r="U9" s="123">
        <v>26</v>
      </c>
      <c r="V9" s="123">
        <v>25.3</v>
      </c>
      <c r="W9" s="123">
        <v>24.7</v>
      </c>
      <c r="X9" s="123">
        <v>24.1</v>
      </c>
      <c r="Y9" s="123">
        <v>23.5</v>
      </c>
      <c r="Z9" s="123">
        <v>23</v>
      </c>
      <c r="AA9" s="123">
        <v>22.6</v>
      </c>
      <c r="AB9" s="123">
        <v>22.3</v>
      </c>
      <c r="AC9" s="123">
        <v>22</v>
      </c>
      <c r="AD9" s="123">
        <v>21.7</v>
      </c>
      <c r="AE9" s="123">
        <v>21.5</v>
      </c>
      <c r="AF9" s="123">
        <v>21.3</v>
      </c>
      <c r="AG9" s="123">
        <v>21.1</v>
      </c>
      <c r="AH9" s="123">
        <v>21</v>
      </c>
      <c r="AI9" s="123">
        <v>20.9</v>
      </c>
      <c r="AJ9" s="123">
        <v>20.8</v>
      </c>
      <c r="AK9" s="123">
        <v>20.8</v>
      </c>
      <c r="AL9" s="123">
        <v>20.8</v>
      </c>
      <c r="AM9" s="123">
        <v>20.9</v>
      </c>
      <c r="AN9" s="123">
        <v>21.1</v>
      </c>
      <c r="AO9" s="123">
        <v>21.3</v>
      </c>
      <c r="AP9" s="123">
        <v>21.6</v>
      </c>
      <c r="AQ9" s="123">
        <v>21.9</v>
      </c>
      <c r="AR9" s="123">
        <v>22.4</v>
      </c>
      <c r="AS9" s="124">
        <v>22.9</v>
      </c>
    </row>
    <row r="10" spans="1:45" ht="15" customHeight="1">
      <c r="A10" s="175" t="s">
        <v>40</v>
      </c>
      <c r="B10" s="178" t="s">
        <v>14</v>
      </c>
      <c r="C10" s="58" t="s">
        <v>34</v>
      </c>
      <c r="D10" s="59" t="s">
        <v>43</v>
      </c>
      <c r="E10" s="113">
        <v>-1</v>
      </c>
      <c r="F10" s="113">
        <v>-1</v>
      </c>
      <c r="G10" s="113">
        <v>-1</v>
      </c>
      <c r="H10" s="113">
        <v>-1</v>
      </c>
      <c r="I10" s="113">
        <v>-0.7</v>
      </c>
      <c r="J10" s="113">
        <v>-0.8</v>
      </c>
      <c r="K10" s="113">
        <v>-0.6</v>
      </c>
      <c r="L10" s="113">
        <v>-0.6</v>
      </c>
      <c r="M10" s="113">
        <v>-0.7</v>
      </c>
      <c r="N10" s="113">
        <v>-0.7</v>
      </c>
      <c r="O10" s="113">
        <v>-0.5</v>
      </c>
      <c r="P10" s="113">
        <v>-0.4</v>
      </c>
      <c r="Q10" s="113">
        <v>-0.5</v>
      </c>
      <c r="R10" s="113">
        <v>-0.5</v>
      </c>
      <c r="S10" s="113">
        <v>-0.5</v>
      </c>
      <c r="T10" s="113">
        <v>-0.7</v>
      </c>
      <c r="U10" s="113">
        <v>-0.5</v>
      </c>
      <c r="V10" s="113">
        <v>-0.6</v>
      </c>
      <c r="W10" s="113">
        <v>-0.6</v>
      </c>
      <c r="X10" s="113">
        <v>-0.6</v>
      </c>
      <c r="Y10" s="113">
        <v>-0.7</v>
      </c>
      <c r="Z10" s="113">
        <v>-1</v>
      </c>
      <c r="AA10" s="113">
        <v>-0.8</v>
      </c>
      <c r="AB10" s="113">
        <v>-0.8</v>
      </c>
      <c r="AC10" s="113">
        <v>-1</v>
      </c>
      <c r="AD10" s="113">
        <v>-1</v>
      </c>
      <c r="AE10" s="113">
        <v>-1</v>
      </c>
      <c r="AF10" s="113">
        <v>-1.1000000000000001</v>
      </c>
      <c r="AG10" s="113">
        <v>-1.1000000000000001</v>
      </c>
      <c r="AH10" s="113">
        <v>-1.2</v>
      </c>
      <c r="AI10" s="113">
        <v>-1.3</v>
      </c>
      <c r="AJ10" s="113">
        <v>-1.4</v>
      </c>
      <c r="AK10" s="113">
        <v>-1.5</v>
      </c>
      <c r="AL10" s="113">
        <v>-1.6</v>
      </c>
      <c r="AM10" s="113">
        <v>-1.7</v>
      </c>
      <c r="AN10" s="113">
        <v>-1.8</v>
      </c>
      <c r="AO10" s="113">
        <v>-1.9</v>
      </c>
      <c r="AP10" s="113">
        <v>-2.1</v>
      </c>
      <c r="AQ10" s="113">
        <v>-2.2000000000000002</v>
      </c>
      <c r="AR10" s="113">
        <v>-2.4</v>
      </c>
      <c r="AS10" s="114">
        <v>-2.6</v>
      </c>
    </row>
    <row r="11" spans="1:45">
      <c r="A11" s="176"/>
      <c r="B11" s="179"/>
      <c r="C11" s="60" t="s">
        <v>36</v>
      </c>
      <c r="D11" s="61" t="s">
        <v>42</v>
      </c>
      <c r="E11" s="115">
        <v>-1</v>
      </c>
      <c r="F11" s="115">
        <v>-1</v>
      </c>
      <c r="G11" s="115">
        <v>-1</v>
      </c>
      <c r="H11" s="115">
        <v>-1</v>
      </c>
      <c r="I11" s="115">
        <v>-0.7</v>
      </c>
      <c r="J11" s="115">
        <v>-0.8</v>
      </c>
      <c r="K11" s="115">
        <v>-0.5</v>
      </c>
      <c r="L11" s="115">
        <v>-0.6</v>
      </c>
      <c r="M11" s="115">
        <v>-0.6</v>
      </c>
      <c r="N11" s="115">
        <v>-0.6</v>
      </c>
      <c r="O11" s="115">
        <v>-0.4</v>
      </c>
      <c r="P11" s="115">
        <v>-0.3</v>
      </c>
      <c r="Q11" s="115">
        <v>-0.4</v>
      </c>
      <c r="R11" s="115">
        <v>-0.4</v>
      </c>
      <c r="S11" s="115">
        <v>-0.4</v>
      </c>
      <c r="T11" s="115">
        <v>-0.6</v>
      </c>
      <c r="U11" s="115">
        <v>-0.4</v>
      </c>
      <c r="V11" s="115">
        <v>-0.4</v>
      </c>
      <c r="W11" s="115">
        <v>-0.4</v>
      </c>
      <c r="X11" s="115">
        <v>-0.4</v>
      </c>
      <c r="Y11" s="115">
        <v>-0.4</v>
      </c>
      <c r="Z11" s="115">
        <v>-0.7</v>
      </c>
      <c r="AA11" s="115">
        <v>-0.5</v>
      </c>
      <c r="AB11" s="115">
        <v>-0.5</v>
      </c>
      <c r="AC11" s="115">
        <v>-0.7</v>
      </c>
      <c r="AD11" s="115">
        <v>-0.7</v>
      </c>
      <c r="AE11" s="115">
        <v>-0.6</v>
      </c>
      <c r="AF11" s="115">
        <v>-0.7</v>
      </c>
      <c r="AG11" s="115">
        <v>-0.7</v>
      </c>
      <c r="AH11" s="115">
        <v>-0.8</v>
      </c>
      <c r="AI11" s="115">
        <v>-0.8</v>
      </c>
      <c r="AJ11" s="115">
        <v>-0.9</v>
      </c>
      <c r="AK11" s="115">
        <v>-0.9</v>
      </c>
      <c r="AL11" s="115">
        <v>-1</v>
      </c>
      <c r="AM11" s="115">
        <v>-1.1000000000000001</v>
      </c>
      <c r="AN11" s="115">
        <v>-1.2</v>
      </c>
      <c r="AO11" s="115">
        <v>-1.3</v>
      </c>
      <c r="AP11" s="115">
        <v>-1.4</v>
      </c>
      <c r="AQ11" s="115">
        <v>-1.5</v>
      </c>
      <c r="AR11" s="115">
        <v>-1.6</v>
      </c>
      <c r="AS11" s="116">
        <v>-1.8</v>
      </c>
    </row>
    <row r="12" spans="1:45">
      <c r="A12" s="176"/>
      <c r="B12" s="180"/>
      <c r="C12" s="62" t="s">
        <v>38</v>
      </c>
      <c r="D12" s="63" t="s">
        <v>41</v>
      </c>
      <c r="E12" s="117">
        <v>-1</v>
      </c>
      <c r="F12" s="117">
        <v>-1</v>
      </c>
      <c r="G12" s="117">
        <v>-1</v>
      </c>
      <c r="H12" s="117">
        <v>-1</v>
      </c>
      <c r="I12" s="117">
        <v>-0.7</v>
      </c>
      <c r="J12" s="117">
        <v>-0.8</v>
      </c>
      <c r="K12" s="117">
        <v>-0.5</v>
      </c>
      <c r="L12" s="117">
        <v>-0.5</v>
      </c>
      <c r="M12" s="117">
        <v>-0.6</v>
      </c>
      <c r="N12" s="117">
        <v>-0.5</v>
      </c>
      <c r="O12" s="117">
        <v>-0.3</v>
      </c>
      <c r="P12" s="117">
        <v>-0.2</v>
      </c>
      <c r="Q12" s="117">
        <v>-0.3</v>
      </c>
      <c r="R12" s="117">
        <v>-0.3</v>
      </c>
      <c r="S12" s="117">
        <v>-0.2</v>
      </c>
      <c r="T12" s="117">
        <v>-0.4</v>
      </c>
      <c r="U12" s="117">
        <v>-0.2</v>
      </c>
      <c r="V12" s="117">
        <v>-0.2</v>
      </c>
      <c r="W12" s="117">
        <v>-0.2</v>
      </c>
      <c r="X12" s="117">
        <v>-0.2</v>
      </c>
      <c r="Y12" s="117">
        <v>-0.2</v>
      </c>
      <c r="Z12" s="117">
        <v>-0.4</v>
      </c>
      <c r="AA12" s="117">
        <v>-0.2</v>
      </c>
      <c r="AB12" s="117">
        <v>-0.2</v>
      </c>
      <c r="AC12" s="117">
        <v>-0.3</v>
      </c>
      <c r="AD12" s="117">
        <v>-0.4</v>
      </c>
      <c r="AE12" s="117">
        <v>-0.3</v>
      </c>
      <c r="AF12" s="117">
        <v>-0.3</v>
      </c>
      <c r="AG12" s="117">
        <v>-0.3</v>
      </c>
      <c r="AH12" s="117">
        <v>-0.4</v>
      </c>
      <c r="AI12" s="117">
        <v>-0.4</v>
      </c>
      <c r="AJ12" s="117">
        <v>-0.4</v>
      </c>
      <c r="AK12" s="117">
        <v>-0.4</v>
      </c>
      <c r="AL12" s="117">
        <v>-0.5</v>
      </c>
      <c r="AM12" s="117">
        <v>-0.5</v>
      </c>
      <c r="AN12" s="117">
        <v>-0.6</v>
      </c>
      <c r="AO12" s="117">
        <v>-0.7</v>
      </c>
      <c r="AP12" s="117">
        <v>-0.7</v>
      </c>
      <c r="AQ12" s="117">
        <v>-0.8</v>
      </c>
      <c r="AR12" s="117">
        <v>-0.9</v>
      </c>
      <c r="AS12" s="118">
        <v>-1</v>
      </c>
    </row>
    <row r="13" spans="1:45">
      <c r="A13" s="176"/>
      <c r="B13" s="181" t="s">
        <v>16</v>
      </c>
      <c r="C13" s="64" t="s">
        <v>34</v>
      </c>
      <c r="D13" s="65" t="s">
        <v>43</v>
      </c>
      <c r="E13" s="119">
        <v>33.1</v>
      </c>
      <c r="F13" s="119">
        <v>34</v>
      </c>
      <c r="G13" s="119">
        <v>35.200000000000003</v>
      </c>
      <c r="H13" s="119">
        <v>35.799999999999997</v>
      </c>
      <c r="I13" s="119">
        <v>35.6</v>
      </c>
      <c r="J13" s="119">
        <v>35.4</v>
      </c>
      <c r="K13" s="119">
        <v>34.799999999999997</v>
      </c>
      <c r="L13" s="119">
        <v>33.9</v>
      </c>
      <c r="M13" s="119">
        <v>33.200000000000003</v>
      </c>
      <c r="N13" s="119">
        <v>32.4</v>
      </c>
      <c r="O13" s="119">
        <v>31.7</v>
      </c>
      <c r="P13" s="119">
        <v>30.7</v>
      </c>
      <c r="Q13" s="119">
        <v>30</v>
      </c>
      <c r="R13" s="119">
        <v>29.2</v>
      </c>
      <c r="S13" s="119">
        <v>28.6</v>
      </c>
      <c r="T13" s="119">
        <v>28</v>
      </c>
      <c r="U13" s="119">
        <v>27.4</v>
      </c>
      <c r="V13" s="119">
        <v>26.9</v>
      </c>
      <c r="W13" s="119">
        <v>26.5</v>
      </c>
      <c r="X13" s="119">
        <v>26.1</v>
      </c>
      <c r="Y13" s="119">
        <v>25.8</v>
      </c>
      <c r="Z13" s="119">
        <v>25.5</v>
      </c>
      <c r="AA13" s="119">
        <v>25.4</v>
      </c>
      <c r="AB13" s="119">
        <v>25.3</v>
      </c>
      <c r="AC13" s="119">
        <v>25.3</v>
      </c>
      <c r="AD13" s="119">
        <v>25.3</v>
      </c>
      <c r="AE13" s="119">
        <v>25.4</v>
      </c>
      <c r="AF13" s="119">
        <v>25.6</v>
      </c>
      <c r="AG13" s="119">
        <v>25.8</v>
      </c>
      <c r="AH13" s="119">
        <v>26.2</v>
      </c>
      <c r="AI13" s="119">
        <v>26.5</v>
      </c>
      <c r="AJ13" s="119">
        <v>27</v>
      </c>
      <c r="AK13" s="119">
        <v>27.5</v>
      </c>
      <c r="AL13" s="119">
        <v>28.1</v>
      </c>
      <c r="AM13" s="119">
        <v>28.9</v>
      </c>
      <c r="AN13" s="119">
        <v>29.7</v>
      </c>
      <c r="AO13" s="119">
        <v>30.7</v>
      </c>
      <c r="AP13" s="119">
        <v>31.7</v>
      </c>
      <c r="AQ13" s="119">
        <v>32.9</v>
      </c>
      <c r="AR13" s="119">
        <v>34.200000000000003</v>
      </c>
      <c r="AS13" s="120">
        <v>35.700000000000003</v>
      </c>
    </row>
    <row r="14" spans="1:45">
      <c r="A14" s="176"/>
      <c r="B14" s="182"/>
      <c r="C14" s="66" t="s">
        <v>36</v>
      </c>
      <c r="D14" s="67" t="s">
        <v>42</v>
      </c>
      <c r="E14" s="121">
        <v>33.1</v>
      </c>
      <c r="F14" s="121">
        <v>34</v>
      </c>
      <c r="G14" s="121">
        <v>35.200000000000003</v>
      </c>
      <c r="H14" s="121">
        <v>35.799999999999997</v>
      </c>
      <c r="I14" s="121">
        <v>35.6</v>
      </c>
      <c r="J14" s="121">
        <v>35.4</v>
      </c>
      <c r="K14" s="121">
        <v>34.700000000000003</v>
      </c>
      <c r="L14" s="121">
        <v>33.700000000000003</v>
      </c>
      <c r="M14" s="121">
        <v>33</v>
      </c>
      <c r="N14" s="121">
        <v>32.1</v>
      </c>
      <c r="O14" s="121">
        <v>31.3</v>
      </c>
      <c r="P14" s="121">
        <v>30.2</v>
      </c>
      <c r="Q14" s="121">
        <v>29.4</v>
      </c>
      <c r="R14" s="121">
        <v>28.5</v>
      </c>
      <c r="S14" s="121">
        <v>27.7</v>
      </c>
      <c r="T14" s="121">
        <v>27</v>
      </c>
      <c r="U14" s="121">
        <v>26.3</v>
      </c>
      <c r="V14" s="121">
        <v>25.7</v>
      </c>
      <c r="W14" s="121">
        <v>25.1</v>
      </c>
      <c r="X14" s="121">
        <v>24.5</v>
      </c>
      <c r="Y14" s="121">
        <v>24</v>
      </c>
      <c r="Z14" s="121">
        <v>23.6</v>
      </c>
      <c r="AA14" s="121">
        <v>23.2</v>
      </c>
      <c r="AB14" s="121">
        <v>22.9</v>
      </c>
      <c r="AC14" s="121">
        <v>22.7</v>
      </c>
      <c r="AD14" s="121">
        <v>22.5</v>
      </c>
      <c r="AE14" s="121">
        <v>22.4</v>
      </c>
      <c r="AF14" s="121">
        <v>22.3</v>
      </c>
      <c r="AG14" s="121">
        <v>22.2</v>
      </c>
      <c r="AH14" s="121">
        <v>22.3</v>
      </c>
      <c r="AI14" s="121">
        <v>22.3</v>
      </c>
      <c r="AJ14" s="121">
        <v>22.4</v>
      </c>
      <c r="AK14" s="121">
        <v>22.6</v>
      </c>
      <c r="AL14" s="121">
        <v>22.9</v>
      </c>
      <c r="AM14" s="121">
        <v>23.3</v>
      </c>
      <c r="AN14" s="121">
        <v>23.7</v>
      </c>
      <c r="AO14" s="121">
        <v>24.2</v>
      </c>
      <c r="AP14" s="121">
        <v>24.9</v>
      </c>
      <c r="AQ14" s="121">
        <v>25.6</v>
      </c>
      <c r="AR14" s="121">
        <v>26.4</v>
      </c>
      <c r="AS14" s="122">
        <v>27.4</v>
      </c>
    </row>
    <row r="15" spans="1:45">
      <c r="A15" s="177"/>
      <c r="B15" s="183"/>
      <c r="C15" s="68" t="s">
        <v>38</v>
      </c>
      <c r="D15" s="69" t="s">
        <v>41</v>
      </c>
      <c r="E15" s="123">
        <v>33.1</v>
      </c>
      <c r="F15" s="123">
        <v>34</v>
      </c>
      <c r="G15" s="123">
        <v>35.200000000000003</v>
      </c>
      <c r="H15" s="123">
        <v>35.799999999999997</v>
      </c>
      <c r="I15" s="123">
        <v>35.6</v>
      </c>
      <c r="J15" s="123">
        <v>35.4</v>
      </c>
      <c r="K15" s="123">
        <v>34.6</v>
      </c>
      <c r="L15" s="123">
        <v>33.6</v>
      </c>
      <c r="M15" s="123">
        <v>32.799999999999997</v>
      </c>
      <c r="N15" s="123">
        <v>31.9</v>
      </c>
      <c r="O15" s="123">
        <v>30.9</v>
      </c>
      <c r="P15" s="123">
        <v>29.8</v>
      </c>
      <c r="Q15" s="123">
        <v>28.8</v>
      </c>
      <c r="R15" s="123">
        <v>27.8</v>
      </c>
      <c r="S15" s="123">
        <v>26.9</v>
      </c>
      <c r="T15" s="123">
        <v>26.1</v>
      </c>
      <c r="U15" s="123">
        <v>25.2</v>
      </c>
      <c r="V15" s="123">
        <v>24.4</v>
      </c>
      <c r="W15" s="123">
        <v>23.6</v>
      </c>
      <c r="X15" s="123">
        <v>22.9</v>
      </c>
      <c r="Y15" s="123">
        <v>22.2</v>
      </c>
      <c r="Z15" s="123">
        <v>21.5</v>
      </c>
      <c r="AA15" s="123">
        <v>21</v>
      </c>
      <c r="AB15" s="123">
        <v>20.399999999999999</v>
      </c>
      <c r="AC15" s="123">
        <v>20</v>
      </c>
      <c r="AD15" s="123">
        <v>19.600000000000001</v>
      </c>
      <c r="AE15" s="123">
        <v>19.2</v>
      </c>
      <c r="AF15" s="123">
        <v>18.8</v>
      </c>
      <c r="AG15" s="123">
        <v>18.399999999999999</v>
      </c>
      <c r="AH15" s="123">
        <v>18.2</v>
      </c>
      <c r="AI15" s="123">
        <v>17.899999999999999</v>
      </c>
      <c r="AJ15" s="123">
        <v>17.7</v>
      </c>
      <c r="AK15" s="123">
        <v>17.600000000000001</v>
      </c>
      <c r="AL15" s="123">
        <v>17.5</v>
      </c>
      <c r="AM15" s="123">
        <v>17.5</v>
      </c>
      <c r="AN15" s="123">
        <v>17.5</v>
      </c>
      <c r="AO15" s="123">
        <v>17.600000000000001</v>
      </c>
      <c r="AP15" s="123">
        <v>17.8</v>
      </c>
      <c r="AQ15" s="123">
        <v>18.100000000000001</v>
      </c>
      <c r="AR15" s="123">
        <v>18.5</v>
      </c>
      <c r="AS15" s="124">
        <v>19</v>
      </c>
    </row>
    <row r="16" spans="1:45" ht="15" customHeight="1">
      <c r="A16" s="175" t="s">
        <v>44</v>
      </c>
      <c r="B16" s="178" t="s">
        <v>14</v>
      </c>
      <c r="C16" s="58" t="s">
        <v>34</v>
      </c>
      <c r="D16" s="59" t="s">
        <v>45</v>
      </c>
      <c r="E16" s="113">
        <v>-1</v>
      </c>
      <c r="F16" s="113">
        <v>-1</v>
      </c>
      <c r="G16" s="113">
        <v>-1</v>
      </c>
      <c r="H16" s="113">
        <v>-1</v>
      </c>
      <c r="I16" s="113">
        <v>-0.7</v>
      </c>
      <c r="J16" s="113">
        <v>-0.9</v>
      </c>
      <c r="K16" s="113">
        <v>-0.7</v>
      </c>
      <c r="L16" s="113">
        <v>-0.7</v>
      </c>
      <c r="M16" s="113">
        <v>-0.9</v>
      </c>
      <c r="N16" s="113">
        <v>-0.9</v>
      </c>
      <c r="O16" s="113">
        <v>-0.8</v>
      </c>
      <c r="P16" s="113">
        <v>-0.8</v>
      </c>
      <c r="Q16" s="113">
        <v>-0.9</v>
      </c>
      <c r="R16" s="113">
        <v>-0.9</v>
      </c>
      <c r="S16" s="113">
        <v>-0.9</v>
      </c>
      <c r="T16" s="113">
        <v>-1.1000000000000001</v>
      </c>
      <c r="U16" s="113">
        <v>-1</v>
      </c>
      <c r="V16" s="113">
        <v>-1.1000000000000001</v>
      </c>
      <c r="W16" s="113">
        <v>-1.1000000000000001</v>
      </c>
      <c r="X16" s="113">
        <v>-1.2</v>
      </c>
      <c r="Y16" s="113">
        <v>-1.3</v>
      </c>
      <c r="Z16" s="113">
        <v>-1.6</v>
      </c>
      <c r="AA16" s="113">
        <v>-1.5</v>
      </c>
      <c r="AB16" s="113">
        <v>-1.5</v>
      </c>
      <c r="AC16" s="113">
        <v>-1.7</v>
      </c>
      <c r="AD16" s="113">
        <v>-1.9</v>
      </c>
      <c r="AE16" s="113">
        <v>-1.8</v>
      </c>
      <c r="AF16" s="113">
        <v>-2</v>
      </c>
      <c r="AG16" s="113">
        <v>-2.1</v>
      </c>
      <c r="AH16" s="113">
        <v>-2.2000000000000002</v>
      </c>
      <c r="AI16" s="113">
        <v>-2.2999999999999998</v>
      </c>
      <c r="AJ16" s="113">
        <v>-2.5</v>
      </c>
      <c r="AK16" s="113">
        <v>-2.6</v>
      </c>
      <c r="AL16" s="113">
        <v>-2.8</v>
      </c>
      <c r="AM16" s="113">
        <v>-2.9</v>
      </c>
      <c r="AN16" s="113">
        <v>-3.1</v>
      </c>
      <c r="AO16" s="113">
        <v>-3.3</v>
      </c>
      <c r="AP16" s="113">
        <v>-3.5</v>
      </c>
      <c r="AQ16" s="113">
        <v>-3.7</v>
      </c>
      <c r="AR16" s="113">
        <v>-3.9</v>
      </c>
      <c r="AS16" s="114">
        <v>-4.2</v>
      </c>
    </row>
    <row r="17" spans="1:45">
      <c r="A17" s="176"/>
      <c r="B17" s="179"/>
      <c r="C17" s="60" t="s">
        <v>36</v>
      </c>
      <c r="D17" s="61" t="s">
        <v>46</v>
      </c>
      <c r="E17" s="115">
        <v>-1</v>
      </c>
      <c r="F17" s="115">
        <v>-1</v>
      </c>
      <c r="G17" s="115">
        <v>-1</v>
      </c>
      <c r="H17" s="115">
        <v>-1</v>
      </c>
      <c r="I17" s="115">
        <v>-0.7</v>
      </c>
      <c r="J17" s="115">
        <v>-0.8</v>
      </c>
      <c r="K17" s="115">
        <v>-0.5</v>
      </c>
      <c r="L17" s="115">
        <v>-0.6</v>
      </c>
      <c r="M17" s="115">
        <v>-0.6</v>
      </c>
      <c r="N17" s="115">
        <v>-0.6</v>
      </c>
      <c r="O17" s="115">
        <v>-0.4</v>
      </c>
      <c r="P17" s="115">
        <v>-0.3</v>
      </c>
      <c r="Q17" s="115">
        <v>-0.4</v>
      </c>
      <c r="R17" s="115">
        <v>-0.4</v>
      </c>
      <c r="S17" s="115">
        <v>-0.4</v>
      </c>
      <c r="T17" s="115">
        <v>-0.6</v>
      </c>
      <c r="U17" s="115">
        <v>-0.4</v>
      </c>
      <c r="V17" s="115">
        <v>-0.4</v>
      </c>
      <c r="W17" s="115">
        <v>-0.4</v>
      </c>
      <c r="X17" s="115">
        <v>-0.4</v>
      </c>
      <c r="Y17" s="115">
        <v>-0.4</v>
      </c>
      <c r="Z17" s="115">
        <v>-0.7</v>
      </c>
      <c r="AA17" s="115">
        <v>-0.5</v>
      </c>
      <c r="AB17" s="115">
        <v>-0.5</v>
      </c>
      <c r="AC17" s="115">
        <v>-0.7</v>
      </c>
      <c r="AD17" s="115">
        <v>-0.7</v>
      </c>
      <c r="AE17" s="115">
        <v>-0.6</v>
      </c>
      <c r="AF17" s="115">
        <v>-0.7</v>
      </c>
      <c r="AG17" s="115">
        <v>-0.7</v>
      </c>
      <c r="AH17" s="115">
        <v>-0.8</v>
      </c>
      <c r="AI17" s="115">
        <v>-0.8</v>
      </c>
      <c r="AJ17" s="115">
        <v>-0.9</v>
      </c>
      <c r="AK17" s="115">
        <v>-0.9</v>
      </c>
      <c r="AL17" s="115">
        <v>-1</v>
      </c>
      <c r="AM17" s="115">
        <v>-1.1000000000000001</v>
      </c>
      <c r="AN17" s="115">
        <v>-1.2</v>
      </c>
      <c r="AO17" s="115">
        <v>-1.3</v>
      </c>
      <c r="AP17" s="115">
        <v>-1.4</v>
      </c>
      <c r="AQ17" s="115">
        <v>-1.5</v>
      </c>
      <c r="AR17" s="115">
        <v>-1.6</v>
      </c>
      <c r="AS17" s="116">
        <v>-1.8</v>
      </c>
    </row>
    <row r="18" spans="1:45">
      <c r="A18" s="176"/>
      <c r="B18" s="180"/>
      <c r="C18" s="62" t="s">
        <v>38</v>
      </c>
      <c r="D18" s="63" t="s">
        <v>47</v>
      </c>
      <c r="E18" s="117">
        <v>-1</v>
      </c>
      <c r="F18" s="117">
        <v>-1</v>
      </c>
      <c r="G18" s="117">
        <v>-1</v>
      </c>
      <c r="H18" s="117">
        <v>-1</v>
      </c>
      <c r="I18" s="117">
        <v>-0.7</v>
      </c>
      <c r="J18" s="117">
        <v>-0.8</v>
      </c>
      <c r="K18" s="117">
        <v>-0.4</v>
      </c>
      <c r="L18" s="117">
        <v>-0.4</v>
      </c>
      <c r="M18" s="117">
        <v>-0.4</v>
      </c>
      <c r="N18" s="117">
        <v>-0.3</v>
      </c>
      <c r="O18" s="117">
        <v>0</v>
      </c>
      <c r="P18" s="117">
        <v>0.2</v>
      </c>
      <c r="Q18" s="117">
        <v>0</v>
      </c>
      <c r="R18" s="117">
        <v>0</v>
      </c>
      <c r="S18" s="117">
        <v>0.1</v>
      </c>
      <c r="T18" s="117">
        <v>0</v>
      </c>
      <c r="U18" s="117">
        <v>0.3</v>
      </c>
      <c r="V18" s="117">
        <v>0.3</v>
      </c>
      <c r="W18" s="117">
        <v>0.3</v>
      </c>
      <c r="X18" s="117">
        <v>0.4</v>
      </c>
      <c r="Y18" s="117">
        <v>0.4</v>
      </c>
      <c r="Z18" s="117">
        <v>0.2</v>
      </c>
      <c r="AA18" s="117">
        <v>0.4</v>
      </c>
      <c r="AB18" s="117">
        <v>0.4</v>
      </c>
      <c r="AC18" s="117">
        <v>0.4</v>
      </c>
      <c r="AD18" s="117">
        <v>0.4</v>
      </c>
      <c r="AE18" s="117">
        <v>0.5</v>
      </c>
      <c r="AF18" s="117">
        <v>0.6</v>
      </c>
      <c r="AG18" s="117">
        <v>0.6</v>
      </c>
      <c r="AH18" s="117">
        <v>0.6</v>
      </c>
      <c r="AI18" s="117">
        <v>0.7</v>
      </c>
      <c r="AJ18" s="117">
        <v>0.7</v>
      </c>
      <c r="AK18" s="117">
        <v>0.7</v>
      </c>
      <c r="AL18" s="117">
        <v>0.7</v>
      </c>
      <c r="AM18" s="117">
        <v>0.7</v>
      </c>
      <c r="AN18" s="117">
        <v>0.7</v>
      </c>
      <c r="AO18" s="117">
        <v>0.7</v>
      </c>
      <c r="AP18" s="117">
        <v>0.6</v>
      </c>
      <c r="AQ18" s="117">
        <v>0.6</v>
      </c>
      <c r="AR18" s="117">
        <v>0.6</v>
      </c>
      <c r="AS18" s="118">
        <v>0.5</v>
      </c>
    </row>
    <row r="19" spans="1:45">
      <c r="A19" s="176"/>
      <c r="B19" s="181" t="s">
        <v>16</v>
      </c>
      <c r="C19" s="64" t="s">
        <v>34</v>
      </c>
      <c r="D19" s="65" t="s">
        <v>45</v>
      </c>
      <c r="E19" s="119">
        <v>33.1</v>
      </c>
      <c r="F19" s="119">
        <v>34</v>
      </c>
      <c r="G19" s="119">
        <v>35.200000000000003</v>
      </c>
      <c r="H19" s="119">
        <v>35.799999999999997</v>
      </c>
      <c r="I19" s="119">
        <v>35.6</v>
      </c>
      <c r="J19" s="119">
        <v>35.5</v>
      </c>
      <c r="K19" s="119">
        <v>35.1</v>
      </c>
      <c r="L19" s="119">
        <v>34.4</v>
      </c>
      <c r="M19" s="119">
        <v>34</v>
      </c>
      <c r="N19" s="119">
        <v>33.5</v>
      </c>
      <c r="O19" s="119">
        <v>33.200000000000003</v>
      </c>
      <c r="P19" s="119">
        <v>32.6</v>
      </c>
      <c r="Q19" s="119">
        <v>32.200000000000003</v>
      </c>
      <c r="R19" s="119">
        <v>31.8</v>
      </c>
      <c r="S19" s="119">
        <v>31.5</v>
      </c>
      <c r="T19" s="119">
        <v>31.4</v>
      </c>
      <c r="U19" s="119">
        <v>31.2</v>
      </c>
      <c r="V19" s="119">
        <v>31.1</v>
      </c>
      <c r="W19" s="119">
        <v>31.1</v>
      </c>
      <c r="X19" s="119">
        <v>31.1</v>
      </c>
      <c r="Y19" s="119">
        <v>31.3</v>
      </c>
      <c r="Z19" s="119">
        <v>31.5</v>
      </c>
      <c r="AA19" s="119">
        <v>31.9</v>
      </c>
      <c r="AB19" s="119">
        <v>32.299999999999997</v>
      </c>
      <c r="AC19" s="119">
        <v>32.9</v>
      </c>
      <c r="AD19" s="119">
        <v>33.5</v>
      </c>
      <c r="AE19" s="119">
        <v>34.200000000000003</v>
      </c>
      <c r="AF19" s="119">
        <v>35</v>
      </c>
      <c r="AG19" s="119">
        <v>35.799999999999997</v>
      </c>
      <c r="AH19" s="119">
        <v>36.9</v>
      </c>
      <c r="AI19" s="119">
        <v>37.9</v>
      </c>
      <c r="AJ19" s="119">
        <v>39.1</v>
      </c>
      <c r="AK19" s="119">
        <v>40.4</v>
      </c>
      <c r="AL19" s="119">
        <v>41.9</v>
      </c>
      <c r="AM19" s="119">
        <v>43.4</v>
      </c>
      <c r="AN19" s="119">
        <v>45.1</v>
      </c>
      <c r="AO19" s="119">
        <v>47</v>
      </c>
      <c r="AP19" s="119">
        <v>49</v>
      </c>
      <c r="AQ19" s="119">
        <v>51.1</v>
      </c>
      <c r="AR19" s="119">
        <v>53.4</v>
      </c>
      <c r="AS19" s="120">
        <v>55.9</v>
      </c>
    </row>
    <row r="20" spans="1:45">
      <c r="A20" s="176"/>
      <c r="B20" s="182"/>
      <c r="C20" s="66" t="s">
        <v>36</v>
      </c>
      <c r="D20" s="67" t="s">
        <v>46</v>
      </c>
      <c r="E20" s="121">
        <v>33.1</v>
      </c>
      <c r="F20" s="121">
        <v>34</v>
      </c>
      <c r="G20" s="121">
        <v>35.200000000000003</v>
      </c>
      <c r="H20" s="121">
        <v>35.799999999999997</v>
      </c>
      <c r="I20" s="121">
        <v>35.6</v>
      </c>
      <c r="J20" s="121">
        <v>35.4</v>
      </c>
      <c r="K20" s="121">
        <v>34.700000000000003</v>
      </c>
      <c r="L20" s="121">
        <v>33.700000000000003</v>
      </c>
      <c r="M20" s="121">
        <v>33</v>
      </c>
      <c r="N20" s="121">
        <v>32.1</v>
      </c>
      <c r="O20" s="121">
        <v>31.3</v>
      </c>
      <c r="P20" s="121">
        <v>30.2</v>
      </c>
      <c r="Q20" s="121">
        <v>29.4</v>
      </c>
      <c r="R20" s="121">
        <v>28.5</v>
      </c>
      <c r="S20" s="121">
        <v>27.7</v>
      </c>
      <c r="T20" s="121">
        <v>27</v>
      </c>
      <c r="U20" s="121">
        <v>26.3</v>
      </c>
      <c r="V20" s="121">
        <v>25.7</v>
      </c>
      <c r="W20" s="121">
        <v>25.1</v>
      </c>
      <c r="X20" s="121">
        <v>24.5</v>
      </c>
      <c r="Y20" s="121">
        <v>24</v>
      </c>
      <c r="Z20" s="121">
        <v>23.6</v>
      </c>
      <c r="AA20" s="121">
        <v>23.2</v>
      </c>
      <c r="AB20" s="121">
        <v>22.9</v>
      </c>
      <c r="AC20" s="121">
        <v>22.7</v>
      </c>
      <c r="AD20" s="121">
        <v>22.5</v>
      </c>
      <c r="AE20" s="121">
        <v>22.4</v>
      </c>
      <c r="AF20" s="121">
        <v>22.3</v>
      </c>
      <c r="AG20" s="121">
        <v>22.2</v>
      </c>
      <c r="AH20" s="121">
        <v>22.3</v>
      </c>
      <c r="AI20" s="121">
        <v>22.3</v>
      </c>
      <c r="AJ20" s="121">
        <v>22.4</v>
      </c>
      <c r="AK20" s="121">
        <v>22.6</v>
      </c>
      <c r="AL20" s="121">
        <v>22.9</v>
      </c>
      <c r="AM20" s="121">
        <v>23.3</v>
      </c>
      <c r="AN20" s="121">
        <v>23.7</v>
      </c>
      <c r="AO20" s="121">
        <v>24.2</v>
      </c>
      <c r="AP20" s="121">
        <v>24.9</v>
      </c>
      <c r="AQ20" s="121">
        <v>25.6</v>
      </c>
      <c r="AR20" s="121">
        <v>26.4</v>
      </c>
      <c r="AS20" s="122">
        <v>27.4</v>
      </c>
    </row>
    <row r="21" spans="1:45">
      <c r="A21" s="177"/>
      <c r="B21" s="183"/>
      <c r="C21" s="68" t="s">
        <v>38</v>
      </c>
      <c r="D21" s="69" t="s">
        <v>47</v>
      </c>
      <c r="E21" s="123">
        <v>33.1</v>
      </c>
      <c r="F21" s="123">
        <v>34</v>
      </c>
      <c r="G21" s="123">
        <v>35.200000000000003</v>
      </c>
      <c r="H21" s="123">
        <v>35.799999999999997</v>
      </c>
      <c r="I21" s="123">
        <v>35.6</v>
      </c>
      <c r="J21" s="123">
        <v>35.299999999999997</v>
      </c>
      <c r="K21" s="123">
        <v>34.299999999999997</v>
      </c>
      <c r="L21" s="123">
        <v>33.1</v>
      </c>
      <c r="M21" s="123">
        <v>32</v>
      </c>
      <c r="N21" s="123">
        <v>30.8</v>
      </c>
      <c r="O21" s="123">
        <v>29.5</v>
      </c>
      <c r="P21" s="123">
        <v>28</v>
      </c>
      <c r="Q21" s="123">
        <v>26.8</v>
      </c>
      <c r="R21" s="123">
        <v>25.4</v>
      </c>
      <c r="S21" s="123">
        <v>24.2</v>
      </c>
      <c r="T21" s="123">
        <v>23</v>
      </c>
      <c r="U21" s="123">
        <v>21.8</v>
      </c>
      <c r="V21" s="123">
        <v>20.6</v>
      </c>
      <c r="W21" s="123">
        <v>19.5</v>
      </c>
      <c r="X21" s="123">
        <v>18.3</v>
      </c>
      <c r="Y21" s="123">
        <v>17.2</v>
      </c>
      <c r="Z21" s="123">
        <v>16.2</v>
      </c>
      <c r="AA21" s="123">
        <v>15.2</v>
      </c>
      <c r="AB21" s="123">
        <v>14.2</v>
      </c>
      <c r="AC21" s="123">
        <v>13.3</v>
      </c>
      <c r="AD21" s="123">
        <v>12.3</v>
      </c>
      <c r="AE21" s="123">
        <v>11.4</v>
      </c>
      <c r="AF21" s="123">
        <v>10.4</v>
      </c>
      <c r="AG21" s="123">
        <v>9.5</v>
      </c>
      <c r="AH21" s="123">
        <v>8.6999999999999993</v>
      </c>
      <c r="AI21" s="123">
        <v>7.8</v>
      </c>
      <c r="AJ21" s="123">
        <v>7</v>
      </c>
      <c r="AK21" s="123">
        <v>6.2</v>
      </c>
      <c r="AL21" s="123">
        <v>5.4</v>
      </c>
      <c r="AM21" s="123">
        <v>4.5999999999999996</v>
      </c>
      <c r="AN21" s="123">
        <v>4</v>
      </c>
      <c r="AO21" s="123">
        <v>3.7</v>
      </c>
      <c r="AP21" s="123">
        <v>3.4</v>
      </c>
      <c r="AQ21" s="123">
        <v>2.9</v>
      </c>
      <c r="AR21" s="123">
        <v>2.6</v>
      </c>
      <c r="AS21" s="124">
        <v>2.4</v>
      </c>
    </row>
    <row r="22" spans="1:45" ht="15" customHeight="1">
      <c r="A22" s="175" t="s">
        <v>48</v>
      </c>
      <c r="B22" s="178" t="s">
        <v>14</v>
      </c>
      <c r="C22" s="58" t="s">
        <v>34</v>
      </c>
      <c r="D22" s="59" t="s">
        <v>49</v>
      </c>
      <c r="E22" s="113">
        <v>-1</v>
      </c>
      <c r="F22" s="113">
        <v>-1</v>
      </c>
      <c r="G22" s="113">
        <v>-1</v>
      </c>
      <c r="H22" s="113">
        <v>-1</v>
      </c>
      <c r="I22" s="113">
        <v>-0.7</v>
      </c>
      <c r="J22" s="113">
        <v>-0.8</v>
      </c>
      <c r="K22" s="113">
        <v>-0.5</v>
      </c>
      <c r="L22" s="113">
        <v>-0.6</v>
      </c>
      <c r="M22" s="113">
        <v>-0.6</v>
      </c>
      <c r="N22" s="113">
        <v>-0.6</v>
      </c>
      <c r="O22" s="113">
        <v>-0.4</v>
      </c>
      <c r="P22" s="113">
        <v>-0.3</v>
      </c>
      <c r="Q22" s="113">
        <v>-0.4</v>
      </c>
      <c r="R22" s="113">
        <v>-0.4</v>
      </c>
      <c r="S22" s="113">
        <v>-0.3</v>
      </c>
      <c r="T22" s="113">
        <v>-0.5</v>
      </c>
      <c r="U22" s="113">
        <v>-0.3</v>
      </c>
      <c r="V22" s="113">
        <v>-0.3</v>
      </c>
      <c r="W22" s="113">
        <v>-0.3</v>
      </c>
      <c r="X22" s="113">
        <v>-0.3</v>
      </c>
      <c r="Y22" s="113">
        <v>-0.3</v>
      </c>
      <c r="Z22" s="113">
        <v>-0.5</v>
      </c>
      <c r="AA22" s="113">
        <v>-0.4</v>
      </c>
      <c r="AB22" s="113">
        <v>-0.4</v>
      </c>
      <c r="AC22" s="113">
        <v>-0.5</v>
      </c>
      <c r="AD22" s="113">
        <v>-0.5</v>
      </c>
      <c r="AE22" s="113">
        <v>-0.4</v>
      </c>
      <c r="AF22" s="113">
        <v>-0.5</v>
      </c>
      <c r="AG22" s="113">
        <v>-0.5</v>
      </c>
      <c r="AH22" s="113">
        <v>-0.6</v>
      </c>
      <c r="AI22" s="113">
        <v>-0.6</v>
      </c>
      <c r="AJ22" s="113">
        <v>-0.6</v>
      </c>
      <c r="AK22" s="113">
        <v>-0.7</v>
      </c>
      <c r="AL22" s="113">
        <v>-0.7</v>
      </c>
      <c r="AM22" s="113">
        <v>-0.8</v>
      </c>
      <c r="AN22" s="113">
        <v>-0.9</v>
      </c>
      <c r="AO22" s="113">
        <v>-1</v>
      </c>
      <c r="AP22" s="113">
        <v>-1.1000000000000001</v>
      </c>
      <c r="AQ22" s="113">
        <v>-1.2</v>
      </c>
      <c r="AR22" s="113">
        <v>-1.3</v>
      </c>
      <c r="AS22" s="114">
        <v>-1.4</v>
      </c>
    </row>
    <row r="23" spans="1:45">
      <c r="A23" s="176"/>
      <c r="B23" s="179"/>
      <c r="C23" s="60" t="s">
        <v>36</v>
      </c>
      <c r="D23" s="61" t="s">
        <v>50</v>
      </c>
      <c r="E23" s="115">
        <v>-1</v>
      </c>
      <c r="F23" s="115">
        <v>-1</v>
      </c>
      <c r="G23" s="115">
        <v>-1</v>
      </c>
      <c r="H23" s="115">
        <v>-1</v>
      </c>
      <c r="I23" s="115">
        <v>-0.7</v>
      </c>
      <c r="J23" s="115">
        <v>-0.8</v>
      </c>
      <c r="K23" s="115">
        <v>-0.5</v>
      </c>
      <c r="L23" s="115">
        <v>-0.6</v>
      </c>
      <c r="M23" s="115">
        <v>-0.6</v>
      </c>
      <c r="N23" s="115">
        <v>-0.6</v>
      </c>
      <c r="O23" s="115">
        <v>-0.4</v>
      </c>
      <c r="P23" s="115">
        <v>-0.3</v>
      </c>
      <c r="Q23" s="115">
        <v>-0.4</v>
      </c>
      <c r="R23" s="115">
        <v>-0.4</v>
      </c>
      <c r="S23" s="115">
        <v>-0.4</v>
      </c>
      <c r="T23" s="115">
        <v>-0.6</v>
      </c>
      <c r="U23" s="115">
        <v>-0.4</v>
      </c>
      <c r="V23" s="115">
        <v>-0.4</v>
      </c>
      <c r="W23" s="115">
        <v>-0.4</v>
      </c>
      <c r="X23" s="115">
        <v>-0.4</v>
      </c>
      <c r="Y23" s="115">
        <v>-0.4</v>
      </c>
      <c r="Z23" s="115">
        <v>-0.7</v>
      </c>
      <c r="AA23" s="115">
        <v>-0.5</v>
      </c>
      <c r="AB23" s="115">
        <v>-0.5</v>
      </c>
      <c r="AC23" s="115">
        <v>-0.7</v>
      </c>
      <c r="AD23" s="115">
        <v>-0.7</v>
      </c>
      <c r="AE23" s="115">
        <v>-0.6</v>
      </c>
      <c r="AF23" s="115">
        <v>-0.7</v>
      </c>
      <c r="AG23" s="115">
        <v>-0.7</v>
      </c>
      <c r="AH23" s="115">
        <v>-0.8</v>
      </c>
      <c r="AI23" s="115">
        <v>-0.8</v>
      </c>
      <c r="AJ23" s="115">
        <v>-0.9</v>
      </c>
      <c r="AK23" s="115">
        <v>-0.9</v>
      </c>
      <c r="AL23" s="115">
        <v>-1</v>
      </c>
      <c r="AM23" s="115">
        <v>-1.1000000000000001</v>
      </c>
      <c r="AN23" s="115">
        <v>-1.2</v>
      </c>
      <c r="AO23" s="115">
        <v>-1.3</v>
      </c>
      <c r="AP23" s="115">
        <v>-1.4</v>
      </c>
      <c r="AQ23" s="115">
        <v>-1.5</v>
      </c>
      <c r="AR23" s="115">
        <v>-1.6</v>
      </c>
      <c r="AS23" s="116">
        <v>-1.8</v>
      </c>
    </row>
    <row r="24" spans="1:45">
      <c r="A24" s="176"/>
      <c r="B24" s="180"/>
      <c r="C24" s="62" t="s">
        <v>38</v>
      </c>
      <c r="D24" s="63" t="s">
        <v>51</v>
      </c>
      <c r="E24" s="117">
        <v>-1</v>
      </c>
      <c r="F24" s="117">
        <v>-1</v>
      </c>
      <c r="G24" s="117">
        <v>-1</v>
      </c>
      <c r="H24" s="117">
        <v>-1</v>
      </c>
      <c r="I24" s="117">
        <v>-0.7</v>
      </c>
      <c r="J24" s="117">
        <v>-0.8</v>
      </c>
      <c r="K24" s="117">
        <v>-0.5</v>
      </c>
      <c r="L24" s="117">
        <v>-0.6</v>
      </c>
      <c r="M24" s="117">
        <v>-0.6</v>
      </c>
      <c r="N24" s="117">
        <v>-0.6</v>
      </c>
      <c r="O24" s="117">
        <v>-0.4</v>
      </c>
      <c r="P24" s="117">
        <v>-0.3</v>
      </c>
      <c r="Q24" s="117">
        <v>-0.4</v>
      </c>
      <c r="R24" s="117">
        <v>-0.5</v>
      </c>
      <c r="S24" s="117">
        <v>-0.4</v>
      </c>
      <c r="T24" s="117">
        <v>-0.6</v>
      </c>
      <c r="U24" s="117">
        <v>-0.4</v>
      </c>
      <c r="V24" s="117">
        <v>-0.5</v>
      </c>
      <c r="W24" s="117">
        <v>-0.5</v>
      </c>
      <c r="X24" s="117">
        <v>-0.6</v>
      </c>
      <c r="Y24" s="117">
        <v>-0.6</v>
      </c>
      <c r="Z24" s="117">
        <v>-0.9</v>
      </c>
      <c r="AA24" s="117">
        <v>-0.7</v>
      </c>
      <c r="AB24" s="117">
        <v>-0.8</v>
      </c>
      <c r="AC24" s="117">
        <v>-0.9</v>
      </c>
      <c r="AD24" s="117">
        <v>-1</v>
      </c>
      <c r="AE24" s="117">
        <v>-0.9</v>
      </c>
      <c r="AF24" s="117">
        <v>-1</v>
      </c>
      <c r="AG24" s="117">
        <v>-1</v>
      </c>
      <c r="AH24" s="117">
        <v>-1.1000000000000001</v>
      </c>
      <c r="AI24" s="117">
        <v>-1.2</v>
      </c>
      <c r="AJ24" s="117">
        <v>-1.2</v>
      </c>
      <c r="AK24" s="117">
        <v>-1.3</v>
      </c>
      <c r="AL24" s="117">
        <v>-1.4</v>
      </c>
      <c r="AM24" s="117">
        <v>-1.5</v>
      </c>
      <c r="AN24" s="117">
        <v>-1.6</v>
      </c>
      <c r="AO24" s="117">
        <v>-1.7</v>
      </c>
      <c r="AP24" s="117">
        <v>-1.8</v>
      </c>
      <c r="AQ24" s="117">
        <v>-2</v>
      </c>
      <c r="AR24" s="117">
        <v>-2.1</v>
      </c>
      <c r="AS24" s="118">
        <v>-2.2999999999999998</v>
      </c>
    </row>
    <row r="25" spans="1:45">
      <c r="A25" s="176"/>
      <c r="B25" s="181" t="s">
        <v>16</v>
      </c>
      <c r="C25" s="64" t="s">
        <v>34</v>
      </c>
      <c r="D25" s="65" t="s">
        <v>49</v>
      </c>
      <c r="E25" s="119">
        <v>33.1</v>
      </c>
      <c r="F25" s="119">
        <v>34</v>
      </c>
      <c r="G25" s="119">
        <v>35.200000000000003</v>
      </c>
      <c r="H25" s="119">
        <v>35.799999999999997</v>
      </c>
      <c r="I25" s="119">
        <v>35.6</v>
      </c>
      <c r="J25" s="119">
        <v>35.4</v>
      </c>
      <c r="K25" s="119">
        <v>34.700000000000003</v>
      </c>
      <c r="L25" s="119">
        <v>33.700000000000003</v>
      </c>
      <c r="M25" s="119">
        <v>32.799999999999997</v>
      </c>
      <c r="N25" s="119">
        <v>31.9</v>
      </c>
      <c r="O25" s="119">
        <v>31</v>
      </c>
      <c r="P25" s="119">
        <v>29.8</v>
      </c>
      <c r="Q25" s="119">
        <v>29</v>
      </c>
      <c r="R25" s="119">
        <v>28.1</v>
      </c>
      <c r="S25" s="119">
        <v>27.2</v>
      </c>
      <c r="T25" s="119">
        <v>26.5</v>
      </c>
      <c r="U25" s="119">
        <v>25.6</v>
      </c>
      <c r="V25" s="119">
        <v>24.9</v>
      </c>
      <c r="W25" s="119">
        <v>24.2</v>
      </c>
      <c r="X25" s="119">
        <v>23.5</v>
      </c>
      <c r="Y25" s="119">
        <v>22.9</v>
      </c>
      <c r="Z25" s="119">
        <v>22.3</v>
      </c>
      <c r="AA25" s="119">
        <v>21.8</v>
      </c>
      <c r="AB25" s="119">
        <v>21.3</v>
      </c>
      <c r="AC25" s="119">
        <v>20.9</v>
      </c>
      <c r="AD25" s="119">
        <v>20.5</v>
      </c>
      <c r="AE25" s="119">
        <v>20.2</v>
      </c>
      <c r="AF25" s="119">
        <v>19.899999999999999</v>
      </c>
      <c r="AG25" s="119">
        <v>19.600000000000001</v>
      </c>
      <c r="AH25" s="119">
        <v>19.5</v>
      </c>
      <c r="AI25" s="119">
        <v>19.399999999999999</v>
      </c>
      <c r="AJ25" s="119">
        <v>19.3</v>
      </c>
      <c r="AK25" s="119">
        <v>19.3</v>
      </c>
      <c r="AL25" s="119">
        <v>19.399999999999999</v>
      </c>
      <c r="AM25" s="119">
        <v>19.5</v>
      </c>
      <c r="AN25" s="119">
        <v>19.8</v>
      </c>
      <c r="AO25" s="119">
        <v>20.100000000000001</v>
      </c>
      <c r="AP25" s="119">
        <v>20.5</v>
      </c>
      <c r="AQ25" s="119">
        <v>21</v>
      </c>
      <c r="AR25" s="119">
        <v>21.7</v>
      </c>
      <c r="AS25" s="120">
        <v>22.4</v>
      </c>
    </row>
    <row r="26" spans="1:45">
      <c r="A26" s="176"/>
      <c r="B26" s="182"/>
      <c r="C26" s="66" t="s">
        <v>36</v>
      </c>
      <c r="D26" s="67" t="s">
        <v>50</v>
      </c>
      <c r="E26" s="121">
        <v>33.1</v>
      </c>
      <c r="F26" s="121">
        <v>34</v>
      </c>
      <c r="G26" s="121">
        <v>35.200000000000003</v>
      </c>
      <c r="H26" s="121">
        <v>35.799999999999997</v>
      </c>
      <c r="I26" s="121">
        <v>35.6</v>
      </c>
      <c r="J26" s="121">
        <v>35.4</v>
      </c>
      <c r="K26" s="121">
        <v>34.700000000000003</v>
      </c>
      <c r="L26" s="121">
        <v>33.700000000000003</v>
      </c>
      <c r="M26" s="121">
        <v>33</v>
      </c>
      <c r="N26" s="121">
        <v>32.1</v>
      </c>
      <c r="O26" s="121">
        <v>31.3</v>
      </c>
      <c r="P26" s="121">
        <v>30.2</v>
      </c>
      <c r="Q26" s="121">
        <v>29.4</v>
      </c>
      <c r="R26" s="121">
        <v>28.5</v>
      </c>
      <c r="S26" s="121">
        <v>27.7</v>
      </c>
      <c r="T26" s="121">
        <v>27</v>
      </c>
      <c r="U26" s="121">
        <v>26.3</v>
      </c>
      <c r="V26" s="121">
        <v>25.7</v>
      </c>
      <c r="W26" s="121">
        <v>25.1</v>
      </c>
      <c r="X26" s="121">
        <v>24.5</v>
      </c>
      <c r="Y26" s="121">
        <v>24</v>
      </c>
      <c r="Z26" s="121">
        <v>23.6</v>
      </c>
      <c r="AA26" s="121">
        <v>23.2</v>
      </c>
      <c r="AB26" s="121">
        <v>22.9</v>
      </c>
      <c r="AC26" s="121">
        <v>22.7</v>
      </c>
      <c r="AD26" s="121">
        <v>22.5</v>
      </c>
      <c r="AE26" s="121">
        <v>22.4</v>
      </c>
      <c r="AF26" s="121">
        <v>22.3</v>
      </c>
      <c r="AG26" s="121">
        <v>22.2</v>
      </c>
      <c r="AH26" s="121">
        <v>22.3</v>
      </c>
      <c r="AI26" s="121">
        <v>22.3</v>
      </c>
      <c r="AJ26" s="121">
        <v>22.4</v>
      </c>
      <c r="AK26" s="121">
        <v>22.6</v>
      </c>
      <c r="AL26" s="121">
        <v>22.9</v>
      </c>
      <c r="AM26" s="121">
        <v>23.3</v>
      </c>
      <c r="AN26" s="121">
        <v>23.7</v>
      </c>
      <c r="AO26" s="121">
        <v>24.2</v>
      </c>
      <c r="AP26" s="121">
        <v>24.9</v>
      </c>
      <c r="AQ26" s="121">
        <v>25.6</v>
      </c>
      <c r="AR26" s="121">
        <v>26.4</v>
      </c>
      <c r="AS26" s="122">
        <v>27.4</v>
      </c>
    </row>
    <row r="27" spans="1:45">
      <c r="A27" s="177"/>
      <c r="B27" s="183"/>
      <c r="C27" s="68" t="s">
        <v>38</v>
      </c>
      <c r="D27" s="69" t="s">
        <v>51</v>
      </c>
      <c r="E27" s="123">
        <v>33.1</v>
      </c>
      <c r="F27" s="123">
        <v>34</v>
      </c>
      <c r="G27" s="123">
        <v>35.200000000000003</v>
      </c>
      <c r="H27" s="123">
        <v>35.799999999999997</v>
      </c>
      <c r="I27" s="123">
        <v>35.6</v>
      </c>
      <c r="J27" s="123">
        <v>35.4</v>
      </c>
      <c r="K27" s="123">
        <v>34.700000000000003</v>
      </c>
      <c r="L27" s="123">
        <v>33.799999999999997</v>
      </c>
      <c r="M27" s="123">
        <v>33.1</v>
      </c>
      <c r="N27" s="123">
        <v>32.299999999999997</v>
      </c>
      <c r="O27" s="123">
        <v>31.6</v>
      </c>
      <c r="P27" s="123">
        <v>30.6</v>
      </c>
      <c r="Q27" s="123">
        <v>29.8</v>
      </c>
      <c r="R27" s="123">
        <v>28.9</v>
      </c>
      <c r="S27" s="123">
        <v>28.2</v>
      </c>
      <c r="T27" s="123">
        <v>27.6</v>
      </c>
      <c r="U27" s="123">
        <v>27</v>
      </c>
      <c r="V27" s="123">
        <v>26.5</v>
      </c>
      <c r="W27" s="123">
        <v>26</v>
      </c>
      <c r="X27" s="123">
        <v>25.6</v>
      </c>
      <c r="Y27" s="123">
        <v>25.3</v>
      </c>
      <c r="Z27" s="123">
        <v>25</v>
      </c>
      <c r="AA27" s="123">
        <v>24.9</v>
      </c>
      <c r="AB27" s="123">
        <v>24.8</v>
      </c>
      <c r="AC27" s="123">
        <v>24.8</v>
      </c>
      <c r="AD27" s="123">
        <v>24.8</v>
      </c>
      <c r="AE27" s="123">
        <v>24.9</v>
      </c>
      <c r="AF27" s="123">
        <v>25.1</v>
      </c>
      <c r="AG27" s="123">
        <v>25.3</v>
      </c>
      <c r="AH27" s="123">
        <v>25.6</v>
      </c>
      <c r="AI27" s="123">
        <v>25.9</v>
      </c>
      <c r="AJ27" s="123">
        <v>26.3</v>
      </c>
      <c r="AK27" s="123">
        <v>26.7</v>
      </c>
      <c r="AL27" s="123">
        <v>27.3</v>
      </c>
      <c r="AM27" s="123">
        <v>27.9</v>
      </c>
      <c r="AN27" s="123">
        <v>28.7</v>
      </c>
      <c r="AO27" s="123">
        <v>29.5</v>
      </c>
      <c r="AP27" s="123">
        <v>30.4</v>
      </c>
      <c r="AQ27" s="123">
        <v>31.5</v>
      </c>
      <c r="AR27" s="123">
        <v>32.700000000000003</v>
      </c>
      <c r="AS27" s="124">
        <v>34</v>
      </c>
    </row>
    <row r="28" spans="1:45" ht="15" customHeight="1">
      <c r="A28" s="175" t="s">
        <v>52</v>
      </c>
      <c r="B28" s="178" t="s">
        <v>14</v>
      </c>
      <c r="C28" s="58" t="s">
        <v>34</v>
      </c>
      <c r="D28" s="59" t="s">
        <v>53</v>
      </c>
      <c r="E28" s="113">
        <v>-1</v>
      </c>
      <c r="F28" s="113">
        <v>-1</v>
      </c>
      <c r="G28" s="113">
        <v>-1</v>
      </c>
      <c r="H28" s="113">
        <v>-1</v>
      </c>
      <c r="I28" s="113">
        <v>-0.7</v>
      </c>
      <c r="J28" s="113">
        <v>-0.7</v>
      </c>
      <c r="K28" s="113">
        <v>-0.2</v>
      </c>
      <c r="L28" s="113">
        <v>-0.1</v>
      </c>
      <c r="M28" s="113">
        <v>0</v>
      </c>
      <c r="N28" s="113">
        <v>0.2</v>
      </c>
      <c r="O28" s="113">
        <v>0.5</v>
      </c>
      <c r="P28" s="113">
        <v>0.9</v>
      </c>
      <c r="Q28" s="113">
        <v>0.8</v>
      </c>
      <c r="R28" s="113">
        <v>0.8</v>
      </c>
      <c r="S28" s="113">
        <v>0.9</v>
      </c>
      <c r="T28" s="113">
        <v>0.8</v>
      </c>
      <c r="U28" s="113">
        <v>1</v>
      </c>
      <c r="V28" s="113">
        <v>1</v>
      </c>
      <c r="W28" s="113">
        <v>1.1000000000000001</v>
      </c>
      <c r="X28" s="113">
        <v>1.1000000000000001</v>
      </c>
      <c r="Y28" s="113">
        <v>1.1000000000000001</v>
      </c>
      <c r="Z28" s="113">
        <v>1</v>
      </c>
      <c r="AA28" s="113">
        <v>1.1000000000000001</v>
      </c>
      <c r="AB28" s="113">
        <v>1.2</v>
      </c>
      <c r="AC28" s="113">
        <v>1.1000000000000001</v>
      </c>
      <c r="AD28" s="113">
        <v>1.1000000000000001</v>
      </c>
      <c r="AE28" s="113">
        <v>1.2</v>
      </c>
      <c r="AF28" s="113">
        <v>1.2</v>
      </c>
      <c r="AG28" s="113">
        <v>1.2</v>
      </c>
      <c r="AH28" s="113">
        <v>1.1000000000000001</v>
      </c>
      <c r="AI28" s="113">
        <v>1.1000000000000001</v>
      </c>
      <c r="AJ28" s="113">
        <v>1.1000000000000001</v>
      </c>
      <c r="AK28" s="113">
        <v>1.1000000000000001</v>
      </c>
      <c r="AL28" s="113">
        <v>1.1000000000000001</v>
      </c>
      <c r="AM28" s="113">
        <v>1</v>
      </c>
      <c r="AN28" s="113">
        <v>0.9</v>
      </c>
      <c r="AO28" s="113">
        <v>0.9</v>
      </c>
      <c r="AP28" s="113">
        <v>0.8</v>
      </c>
      <c r="AQ28" s="113">
        <v>0.7</v>
      </c>
      <c r="AR28" s="113">
        <v>0.6</v>
      </c>
      <c r="AS28" s="114">
        <v>0.5</v>
      </c>
    </row>
    <row r="29" spans="1:45">
      <c r="A29" s="176"/>
      <c r="B29" s="179"/>
      <c r="C29" s="60" t="s">
        <v>36</v>
      </c>
      <c r="D29" s="61" t="s">
        <v>54</v>
      </c>
      <c r="E29" s="115">
        <v>-1</v>
      </c>
      <c r="F29" s="115">
        <v>-1</v>
      </c>
      <c r="G29" s="115">
        <v>-1</v>
      </c>
      <c r="H29" s="115">
        <v>-1</v>
      </c>
      <c r="I29" s="115">
        <v>-0.7</v>
      </c>
      <c r="J29" s="115">
        <v>-0.8</v>
      </c>
      <c r="K29" s="115">
        <v>-0.5</v>
      </c>
      <c r="L29" s="115">
        <v>-0.6</v>
      </c>
      <c r="M29" s="115">
        <v>-0.6</v>
      </c>
      <c r="N29" s="115">
        <v>-0.6</v>
      </c>
      <c r="O29" s="115">
        <v>-0.4</v>
      </c>
      <c r="P29" s="115">
        <v>-0.3</v>
      </c>
      <c r="Q29" s="115">
        <v>-0.4</v>
      </c>
      <c r="R29" s="115">
        <v>-0.4</v>
      </c>
      <c r="S29" s="115">
        <v>-0.4</v>
      </c>
      <c r="T29" s="115">
        <v>-0.6</v>
      </c>
      <c r="U29" s="115">
        <v>-0.4</v>
      </c>
      <c r="V29" s="115">
        <v>-0.4</v>
      </c>
      <c r="W29" s="115">
        <v>-0.4</v>
      </c>
      <c r="X29" s="115">
        <v>-0.4</v>
      </c>
      <c r="Y29" s="115">
        <v>-0.4</v>
      </c>
      <c r="Z29" s="115">
        <v>-0.7</v>
      </c>
      <c r="AA29" s="115">
        <v>-0.5</v>
      </c>
      <c r="AB29" s="115">
        <v>-0.5</v>
      </c>
      <c r="AC29" s="115">
        <v>-0.7</v>
      </c>
      <c r="AD29" s="115">
        <v>-0.7</v>
      </c>
      <c r="AE29" s="115">
        <v>-0.6</v>
      </c>
      <c r="AF29" s="115">
        <v>-0.7</v>
      </c>
      <c r="AG29" s="115">
        <v>-0.7</v>
      </c>
      <c r="AH29" s="115">
        <v>-0.8</v>
      </c>
      <c r="AI29" s="115">
        <v>-0.8</v>
      </c>
      <c r="AJ29" s="115">
        <v>-0.9</v>
      </c>
      <c r="AK29" s="115">
        <v>-0.9</v>
      </c>
      <c r="AL29" s="115">
        <v>-1</v>
      </c>
      <c r="AM29" s="115">
        <v>-1.1000000000000001</v>
      </c>
      <c r="AN29" s="115">
        <v>-1.2</v>
      </c>
      <c r="AO29" s="115">
        <v>-1.3</v>
      </c>
      <c r="AP29" s="115">
        <v>-1.4</v>
      </c>
      <c r="AQ29" s="115">
        <v>-1.5</v>
      </c>
      <c r="AR29" s="115">
        <v>-1.6</v>
      </c>
      <c r="AS29" s="116">
        <v>-1.8</v>
      </c>
    </row>
    <row r="30" spans="1:45">
      <c r="A30" s="176"/>
      <c r="B30" s="180"/>
      <c r="C30" s="62" t="s">
        <v>38</v>
      </c>
      <c r="D30" s="63" t="s">
        <v>55</v>
      </c>
      <c r="E30" s="117">
        <v>-1</v>
      </c>
      <c r="F30" s="117">
        <v>-1</v>
      </c>
      <c r="G30" s="117">
        <v>-1</v>
      </c>
      <c r="H30" s="117">
        <v>-1</v>
      </c>
      <c r="I30" s="117">
        <v>-0.7</v>
      </c>
      <c r="J30" s="117">
        <v>-1</v>
      </c>
      <c r="K30" s="117">
        <v>-0.8</v>
      </c>
      <c r="L30" s="117">
        <v>-1</v>
      </c>
      <c r="M30" s="117">
        <v>-1.3</v>
      </c>
      <c r="N30" s="117">
        <v>-1.4</v>
      </c>
      <c r="O30" s="117">
        <v>-1.4</v>
      </c>
      <c r="P30" s="117">
        <v>-1.4</v>
      </c>
      <c r="Q30" s="117">
        <v>-1.6</v>
      </c>
      <c r="R30" s="117">
        <v>-1.7</v>
      </c>
      <c r="S30" s="117">
        <v>-1.7</v>
      </c>
      <c r="T30" s="117">
        <v>-1.9</v>
      </c>
      <c r="U30" s="117">
        <v>-1.7</v>
      </c>
      <c r="V30" s="117">
        <v>-1.8</v>
      </c>
      <c r="W30" s="117">
        <v>-1.9</v>
      </c>
      <c r="X30" s="117">
        <v>-1.9</v>
      </c>
      <c r="Y30" s="117">
        <v>-2</v>
      </c>
      <c r="Z30" s="117">
        <v>-2.4</v>
      </c>
      <c r="AA30" s="117">
        <v>-2.2000000000000002</v>
      </c>
      <c r="AB30" s="117">
        <v>-2.2999999999999998</v>
      </c>
      <c r="AC30" s="117">
        <v>-2.4</v>
      </c>
      <c r="AD30" s="117">
        <v>-2.5</v>
      </c>
      <c r="AE30" s="117">
        <v>-2.5</v>
      </c>
      <c r="AF30" s="117">
        <v>-2.6</v>
      </c>
      <c r="AG30" s="117">
        <v>-2.7</v>
      </c>
      <c r="AH30" s="117">
        <v>-2.8</v>
      </c>
      <c r="AI30" s="117">
        <v>-2.8</v>
      </c>
      <c r="AJ30" s="117">
        <v>-2.9</v>
      </c>
      <c r="AK30" s="117">
        <v>-3</v>
      </c>
      <c r="AL30" s="117">
        <v>-3.1</v>
      </c>
      <c r="AM30" s="117">
        <v>-3.3</v>
      </c>
      <c r="AN30" s="117">
        <v>-3.4</v>
      </c>
      <c r="AO30" s="117">
        <v>-3.5</v>
      </c>
      <c r="AP30" s="117">
        <v>-3.7</v>
      </c>
      <c r="AQ30" s="117">
        <v>-3.8</v>
      </c>
      <c r="AR30" s="117">
        <v>-4</v>
      </c>
      <c r="AS30" s="118">
        <v>-4.2</v>
      </c>
    </row>
    <row r="31" spans="1:45">
      <c r="A31" s="176"/>
      <c r="B31" s="181" t="s">
        <v>16</v>
      </c>
      <c r="C31" s="64" t="s">
        <v>34</v>
      </c>
      <c r="D31" s="65" t="s">
        <v>53</v>
      </c>
      <c r="E31" s="119">
        <v>33.1</v>
      </c>
      <c r="F31" s="119">
        <v>34</v>
      </c>
      <c r="G31" s="119">
        <v>35.200000000000003</v>
      </c>
      <c r="H31" s="119">
        <v>35.799999999999997</v>
      </c>
      <c r="I31" s="119">
        <v>35.6</v>
      </c>
      <c r="J31" s="119">
        <v>35.200000000000003</v>
      </c>
      <c r="K31" s="119">
        <v>34.299999999999997</v>
      </c>
      <c r="L31" s="119">
        <v>32.9</v>
      </c>
      <c r="M31" s="119">
        <v>31.5</v>
      </c>
      <c r="N31" s="119">
        <v>29.9</v>
      </c>
      <c r="O31" s="119">
        <v>28.2</v>
      </c>
      <c r="P31" s="119">
        <v>26</v>
      </c>
      <c r="Q31" s="119">
        <v>24.2</v>
      </c>
      <c r="R31" s="119">
        <v>22.3</v>
      </c>
      <c r="S31" s="119">
        <v>20.5</v>
      </c>
      <c r="T31" s="119">
        <v>18.8</v>
      </c>
      <c r="U31" s="119">
        <v>17.100000000000001</v>
      </c>
      <c r="V31" s="119">
        <v>15.4</v>
      </c>
      <c r="W31" s="119">
        <v>13.8</v>
      </c>
      <c r="X31" s="119">
        <v>12.2</v>
      </c>
      <c r="Y31" s="119">
        <v>10.7</v>
      </c>
      <c r="Z31" s="119">
        <v>9.1999999999999993</v>
      </c>
      <c r="AA31" s="119">
        <v>7.8</v>
      </c>
      <c r="AB31" s="119">
        <v>6.5</v>
      </c>
      <c r="AC31" s="119">
        <v>5.2</v>
      </c>
      <c r="AD31" s="119">
        <v>4</v>
      </c>
      <c r="AE31" s="119">
        <v>3.8</v>
      </c>
      <c r="AF31" s="119">
        <v>3.5</v>
      </c>
      <c r="AG31" s="119">
        <v>2.7</v>
      </c>
      <c r="AH31" s="119">
        <v>2.4</v>
      </c>
      <c r="AI31" s="119">
        <v>2.2999999999999998</v>
      </c>
      <c r="AJ31" s="119">
        <v>2</v>
      </c>
      <c r="AK31" s="119">
        <v>1.2</v>
      </c>
      <c r="AL31" s="119">
        <v>1.1000000000000001</v>
      </c>
      <c r="AM31" s="119">
        <v>0.7</v>
      </c>
      <c r="AN31" s="119">
        <v>0.7</v>
      </c>
      <c r="AO31" s="119">
        <v>0.7</v>
      </c>
      <c r="AP31" s="119">
        <v>0.6</v>
      </c>
      <c r="AQ31" s="119">
        <v>0.6</v>
      </c>
      <c r="AR31" s="119">
        <v>0.6</v>
      </c>
      <c r="AS31" s="120">
        <v>0.6</v>
      </c>
    </row>
    <row r="32" spans="1:45">
      <c r="A32" s="176"/>
      <c r="B32" s="182"/>
      <c r="C32" s="66" t="s">
        <v>36</v>
      </c>
      <c r="D32" s="67" t="s">
        <v>54</v>
      </c>
      <c r="E32" s="121">
        <v>33.1</v>
      </c>
      <c r="F32" s="121">
        <v>34</v>
      </c>
      <c r="G32" s="121">
        <v>35.200000000000003</v>
      </c>
      <c r="H32" s="121">
        <v>35.799999999999997</v>
      </c>
      <c r="I32" s="121">
        <v>35.6</v>
      </c>
      <c r="J32" s="121">
        <v>35.4</v>
      </c>
      <c r="K32" s="121">
        <v>34.700000000000003</v>
      </c>
      <c r="L32" s="121">
        <v>33.700000000000003</v>
      </c>
      <c r="M32" s="121">
        <v>33</v>
      </c>
      <c r="N32" s="121">
        <v>32.1</v>
      </c>
      <c r="O32" s="121">
        <v>31.3</v>
      </c>
      <c r="P32" s="121">
        <v>30.2</v>
      </c>
      <c r="Q32" s="121">
        <v>29.4</v>
      </c>
      <c r="R32" s="121">
        <v>28.5</v>
      </c>
      <c r="S32" s="121">
        <v>27.7</v>
      </c>
      <c r="T32" s="121">
        <v>27</v>
      </c>
      <c r="U32" s="121">
        <v>26.3</v>
      </c>
      <c r="V32" s="121">
        <v>25.7</v>
      </c>
      <c r="W32" s="121">
        <v>25.1</v>
      </c>
      <c r="X32" s="121">
        <v>24.5</v>
      </c>
      <c r="Y32" s="121">
        <v>24</v>
      </c>
      <c r="Z32" s="121">
        <v>23.6</v>
      </c>
      <c r="AA32" s="121">
        <v>23.2</v>
      </c>
      <c r="AB32" s="121">
        <v>22.9</v>
      </c>
      <c r="AC32" s="121">
        <v>22.7</v>
      </c>
      <c r="AD32" s="121">
        <v>22.5</v>
      </c>
      <c r="AE32" s="121">
        <v>22.4</v>
      </c>
      <c r="AF32" s="121">
        <v>22.3</v>
      </c>
      <c r="AG32" s="121">
        <v>22.2</v>
      </c>
      <c r="AH32" s="121">
        <v>22.3</v>
      </c>
      <c r="AI32" s="121">
        <v>22.3</v>
      </c>
      <c r="AJ32" s="121">
        <v>22.4</v>
      </c>
      <c r="AK32" s="121">
        <v>22.6</v>
      </c>
      <c r="AL32" s="121">
        <v>22.9</v>
      </c>
      <c r="AM32" s="121">
        <v>23.3</v>
      </c>
      <c r="AN32" s="121">
        <v>23.7</v>
      </c>
      <c r="AO32" s="121">
        <v>24.2</v>
      </c>
      <c r="AP32" s="121">
        <v>24.9</v>
      </c>
      <c r="AQ32" s="121">
        <v>25.6</v>
      </c>
      <c r="AR32" s="121">
        <v>26.4</v>
      </c>
      <c r="AS32" s="122">
        <v>27.4</v>
      </c>
    </row>
    <row r="33" spans="1:45">
      <c r="A33" s="177"/>
      <c r="B33" s="183"/>
      <c r="C33" s="68" t="s">
        <v>38</v>
      </c>
      <c r="D33" s="69" t="s">
        <v>55</v>
      </c>
      <c r="E33" s="123">
        <v>33.1</v>
      </c>
      <c r="F33" s="123">
        <v>34</v>
      </c>
      <c r="G33" s="123">
        <v>35.200000000000003</v>
      </c>
      <c r="H33" s="123">
        <v>35.799999999999997</v>
      </c>
      <c r="I33" s="123">
        <v>35.6</v>
      </c>
      <c r="J33" s="123">
        <v>35.5</v>
      </c>
      <c r="K33" s="123">
        <v>35.1</v>
      </c>
      <c r="L33" s="123">
        <v>34.6</v>
      </c>
      <c r="M33" s="123">
        <v>34.5</v>
      </c>
      <c r="N33" s="123">
        <v>34.4</v>
      </c>
      <c r="O33" s="123">
        <v>34.4</v>
      </c>
      <c r="P33" s="123">
        <v>34.4</v>
      </c>
      <c r="Q33" s="123">
        <v>34.6</v>
      </c>
      <c r="R33" s="123">
        <v>34.700000000000003</v>
      </c>
      <c r="S33" s="123">
        <v>34.9</v>
      </c>
      <c r="T33" s="123">
        <v>35.299999999999997</v>
      </c>
      <c r="U33" s="123">
        <v>35.6</v>
      </c>
      <c r="V33" s="123">
        <v>36</v>
      </c>
      <c r="W33" s="123">
        <v>36.4</v>
      </c>
      <c r="X33" s="123">
        <v>36.9</v>
      </c>
      <c r="Y33" s="123">
        <v>37.4</v>
      </c>
      <c r="Z33" s="123">
        <v>38</v>
      </c>
      <c r="AA33" s="123">
        <v>38.700000000000003</v>
      </c>
      <c r="AB33" s="123">
        <v>39.5</v>
      </c>
      <c r="AC33" s="123">
        <v>40.4</v>
      </c>
      <c r="AD33" s="123">
        <v>41.2</v>
      </c>
      <c r="AE33" s="123">
        <v>42.1</v>
      </c>
      <c r="AF33" s="123">
        <v>43.1</v>
      </c>
      <c r="AG33" s="123">
        <v>44.1</v>
      </c>
      <c r="AH33" s="123">
        <v>45.2</v>
      </c>
      <c r="AI33" s="123">
        <v>46.3</v>
      </c>
      <c r="AJ33" s="123">
        <v>47.5</v>
      </c>
      <c r="AK33" s="123">
        <v>48.7</v>
      </c>
      <c r="AL33" s="123">
        <v>50.1</v>
      </c>
      <c r="AM33" s="123">
        <v>51.5</v>
      </c>
      <c r="AN33" s="123">
        <v>53</v>
      </c>
      <c r="AO33" s="123">
        <v>54.6</v>
      </c>
      <c r="AP33" s="123">
        <v>56.3</v>
      </c>
      <c r="AQ33" s="123">
        <v>58.1</v>
      </c>
      <c r="AR33" s="123">
        <v>60</v>
      </c>
      <c r="AS33" s="124">
        <v>62</v>
      </c>
    </row>
    <row r="34" spans="1:45" ht="15" customHeight="1">
      <c r="A34" s="175" t="s">
        <v>56</v>
      </c>
      <c r="B34" s="178" t="s">
        <v>14</v>
      </c>
      <c r="C34" s="58" t="s">
        <v>34</v>
      </c>
      <c r="D34" s="59" t="s">
        <v>57</v>
      </c>
      <c r="E34" s="113">
        <v>-1</v>
      </c>
      <c r="F34" s="113">
        <v>-1</v>
      </c>
      <c r="G34" s="113">
        <v>-1</v>
      </c>
      <c r="H34" s="113">
        <v>-1</v>
      </c>
      <c r="I34" s="113">
        <v>-0.7</v>
      </c>
      <c r="J34" s="113">
        <v>-0.8</v>
      </c>
      <c r="K34" s="113">
        <v>-0.5</v>
      </c>
      <c r="L34" s="113">
        <v>-0.7</v>
      </c>
      <c r="M34" s="113">
        <v>-1</v>
      </c>
      <c r="N34" s="113">
        <v>-1.2</v>
      </c>
      <c r="O34" s="113">
        <v>-1.3</v>
      </c>
      <c r="P34" s="113">
        <v>-1.4</v>
      </c>
      <c r="Q34" s="113">
        <v>-1.5</v>
      </c>
      <c r="R34" s="113">
        <v>-1.6</v>
      </c>
      <c r="S34" s="113">
        <v>-1.6</v>
      </c>
      <c r="T34" s="113">
        <v>-1.9</v>
      </c>
      <c r="U34" s="113">
        <v>-1.7</v>
      </c>
      <c r="V34" s="113">
        <v>-1.8</v>
      </c>
      <c r="W34" s="113">
        <v>-1.9</v>
      </c>
      <c r="X34" s="113">
        <v>-1.9</v>
      </c>
      <c r="Y34" s="113">
        <v>-2</v>
      </c>
      <c r="Z34" s="113">
        <v>-2.4</v>
      </c>
      <c r="AA34" s="113">
        <v>-2.2000000000000002</v>
      </c>
      <c r="AB34" s="113">
        <v>-2.2000000000000002</v>
      </c>
      <c r="AC34" s="113">
        <v>-2.4</v>
      </c>
      <c r="AD34" s="113">
        <v>-2.5</v>
      </c>
      <c r="AE34" s="113">
        <v>-2.5</v>
      </c>
      <c r="AF34" s="113">
        <v>-2.6</v>
      </c>
      <c r="AG34" s="113">
        <v>-2.7</v>
      </c>
      <c r="AH34" s="113">
        <v>-2.8</v>
      </c>
      <c r="AI34" s="113">
        <v>-2.8</v>
      </c>
      <c r="AJ34" s="113">
        <v>-2.9</v>
      </c>
      <c r="AK34" s="113">
        <v>-3</v>
      </c>
      <c r="AL34" s="113">
        <v>-3.1</v>
      </c>
      <c r="AM34" s="113">
        <v>-3.3</v>
      </c>
      <c r="AN34" s="113">
        <v>-3.4</v>
      </c>
      <c r="AO34" s="113">
        <v>-3.5</v>
      </c>
      <c r="AP34" s="113">
        <v>-3.7</v>
      </c>
      <c r="AQ34" s="113">
        <v>-3.8</v>
      </c>
      <c r="AR34" s="113">
        <v>-4</v>
      </c>
      <c r="AS34" s="114">
        <v>-4.2</v>
      </c>
    </row>
    <row r="35" spans="1:45">
      <c r="A35" s="176"/>
      <c r="B35" s="179"/>
      <c r="C35" s="60" t="s">
        <v>36</v>
      </c>
      <c r="D35" s="61" t="s">
        <v>58</v>
      </c>
      <c r="E35" s="115">
        <v>-1</v>
      </c>
      <c r="F35" s="115">
        <v>-1</v>
      </c>
      <c r="G35" s="115">
        <v>-1</v>
      </c>
      <c r="H35" s="115">
        <v>-1</v>
      </c>
      <c r="I35" s="115">
        <v>-0.7</v>
      </c>
      <c r="J35" s="115">
        <v>-0.8</v>
      </c>
      <c r="K35" s="115">
        <v>-0.5</v>
      </c>
      <c r="L35" s="115">
        <v>-0.6</v>
      </c>
      <c r="M35" s="115">
        <v>-0.6</v>
      </c>
      <c r="N35" s="115">
        <v>-0.6</v>
      </c>
      <c r="O35" s="115">
        <v>-0.4</v>
      </c>
      <c r="P35" s="115">
        <v>-0.3</v>
      </c>
      <c r="Q35" s="115">
        <v>-0.4</v>
      </c>
      <c r="R35" s="115">
        <v>-0.4</v>
      </c>
      <c r="S35" s="115">
        <v>-0.4</v>
      </c>
      <c r="T35" s="115">
        <v>-0.6</v>
      </c>
      <c r="U35" s="115">
        <v>-0.4</v>
      </c>
      <c r="V35" s="115">
        <v>-0.4</v>
      </c>
      <c r="W35" s="115">
        <v>-0.4</v>
      </c>
      <c r="X35" s="115">
        <v>-0.4</v>
      </c>
      <c r="Y35" s="115">
        <v>-0.4</v>
      </c>
      <c r="Z35" s="115">
        <v>-0.7</v>
      </c>
      <c r="AA35" s="115">
        <v>-0.5</v>
      </c>
      <c r="AB35" s="115">
        <v>-0.5</v>
      </c>
      <c r="AC35" s="115">
        <v>-0.7</v>
      </c>
      <c r="AD35" s="115">
        <v>-0.7</v>
      </c>
      <c r="AE35" s="115">
        <v>-0.6</v>
      </c>
      <c r="AF35" s="115">
        <v>-0.7</v>
      </c>
      <c r="AG35" s="115">
        <v>-0.7</v>
      </c>
      <c r="AH35" s="115">
        <v>-0.8</v>
      </c>
      <c r="AI35" s="115">
        <v>-0.8</v>
      </c>
      <c r="AJ35" s="115">
        <v>-0.9</v>
      </c>
      <c r="AK35" s="115">
        <v>-0.9</v>
      </c>
      <c r="AL35" s="115">
        <v>-1</v>
      </c>
      <c r="AM35" s="115">
        <v>-1.1000000000000001</v>
      </c>
      <c r="AN35" s="115">
        <v>-1.2</v>
      </c>
      <c r="AO35" s="115">
        <v>-1.3</v>
      </c>
      <c r="AP35" s="115">
        <v>-1.4</v>
      </c>
      <c r="AQ35" s="115">
        <v>-1.5</v>
      </c>
      <c r="AR35" s="115">
        <v>-1.6</v>
      </c>
      <c r="AS35" s="116">
        <v>-1.8</v>
      </c>
    </row>
    <row r="36" spans="1:45">
      <c r="A36" s="176"/>
      <c r="B36" s="180"/>
      <c r="C36" s="62" t="s">
        <v>38</v>
      </c>
      <c r="D36" s="63" t="s">
        <v>59</v>
      </c>
      <c r="E36" s="117">
        <v>-1</v>
      </c>
      <c r="F36" s="117">
        <v>-1</v>
      </c>
      <c r="G36" s="117">
        <v>-1</v>
      </c>
      <c r="H36" s="117">
        <v>-1</v>
      </c>
      <c r="I36" s="117">
        <v>-0.7</v>
      </c>
      <c r="J36" s="117">
        <v>-0.8</v>
      </c>
      <c r="K36" s="117">
        <v>-0.5</v>
      </c>
      <c r="L36" s="117">
        <v>-0.4</v>
      </c>
      <c r="M36" s="117">
        <v>-0.3</v>
      </c>
      <c r="N36" s="117">
        <v>0</v>
      </c>
      <c r="O36" s="117">
        <v>0.4</v>
      </c>
      <c r="P36" s="117">
        <v>0.8</v>
      </c>
      <c r="Q36" s="117">
        <v>0.8</v>
      </c>
      <c r="R36" s="117">
        <v>0.8</v>
      </c>
      <c r="S36" s="117">
        <v>0.9</v>
      </c>
      <c r="T36" s="117">
        <v>0.8</v>
      </c>
      <c r="U36" s="117">
        <v>1</v>
      </c>
      <c r="V36" s="117">
        <v>1</v>
      </c>
      <c r="W36" s="117">
        <v>1.1000000000000001</v>
      </c>
      <c r="X36" s="117">
        <v>1.1000000000000001</v>
      </c>
      <c r="Y36" s="117">
        <v>1.1000000000000001</v>
      </c>
      <c r="Z36" s="117">
        <v>0.9</v>
      </c>
      <c r="AA36" s="117">
        <v>1.1000000000000001</v>
      </c>
      <c r="AB36" s="117">
        <v>1.2</v>
      </c>
      <c r="AC36" s="117">
        <v>1.1000000000000001</v>
      </c>
      <c r="AD36" s="117">
        <v>1.1000000000000001</v>
      </c>
      <c r="AE36" s="117">
        <v>1.2</v>
      </c>
      <c r="AF36" s="117">
        <v>1.2</v>
      </c>
      <c r="AG36" s="117">
        <v>1.2</v>
      </c>
      <c r="AH36" s="117">
        <v>1.1000000000000001</v>
      </c>
      <c r="AI36" s="117">
        <v>1.1000000000000001</v>
      </c>
      <c r="AJ36" s="117">
        <v>1.1000000000000001</v>
      </c>
      <c r="AK36" s="117">
        <v>1.1000000000000001</v>
      </c>
      <c r="AL36" s="117">
        <v>1</v>
      </c>
      <c r="AM36" s="117">
        <v>1</v>
      </c>
      <c r="AN36" s="117">
        <v>0.9</v>
      </c>
      <c r="AO36" s="117">
        <v>0.9</v>
      </c>
      <c r="AP36" s="117">
        <v>0.8</v>
      </c>
      <c r="AQ36" s="117">
        <v>0.7</v>
      </c>
      <c r="AR36" s="117">
        <v>0.6</v>
      </c>
      <c r="AS36" s="118">
        <v>0.5</v>
      </c>
    </row>
    <row r="37" spans="1:45">
      <c r="A37" s="176"/>
      <c r="B37" s="181" t="s">
        <v>16</v>
      </c>
      <c r="C37" s="64" t="s">
        <v>34</v>
      </c>
      <c r="D37" s="65" t="s">
        <v>57</v>
      </c>
      <c r="E37" s="119">
        <v>33.1</v>
      </c>
      <c r="F37" s="119">
        <v>34</v>
      </c>
      <c r="G37" s="119">
        <v>35.200000000000003</v>
      </c>
      <c r="H37" s="119">
        <v>35.799999999999997</v>
      </c>
      <c r="I37" s="119">
        <v>35.6</v>
      </c>
      <c r="J37" s="119">
        <v>35.4</v>
      </c>
      <c r="K37" s="119">
        <v>34.700000000000003</v>
      </c>
      <c r="L37" s="119">
        <v>33.9</v>
      </c>
      <c r="M37" s="119">
        <v>33.5</v>
      </c>
      <c r="N37" s="119">
        <v>33.200000000000003</v>
      </c>
      <c r="O37" s="119">
        <v>33.299999999999997</v>
      </c>
      <c r="P37" s="119">
        <v>33.200000000000003</v>
      </c>
      <c r="Q37" s="119">
        <v>33.4</v>
      </c>
      <c r="R37" s="119">
        <v>33.6</v>
      </c>
      <c r="S37" s="119">
        <v>33.799999999999997</v>
      </c>
      <c r="T37" s="119">
        <v>34.200000000000003</v>
      </c>
      <c r="U37" s="119">
        <v>34.5</v>
      </c>
      <c r="V37" s="119">
        <v>34.9</v>
      </c>
      <c r="W37" s="119">
        <v>35.4</v>
      </c>
      <c r="X37" s="119">
        <v>35.799999999999997</v>
      </c>
      <c r="Y37" s="119">
        <v>36.4</v>
      </c>
      <c r="Z37" s="119">
        <v>37.1</v>
      </c>
      <c r="AA37" s="119">
        <v>37.799999999999997</v>
      </c>
      <c r="AB37" s="119">
        <v>38.5</v>
      </c>
      <c r="AC37" s="119">
        <v>39.4</v>
      </c>
      <c r="AD37" s="119">
        <v>40.299999999999997</v>
      </c>
      <c r="AE37" s="119">
        <v>41.2</v>
      </c>
      <c r="AF37" s="119">
        <v>42.2</v>
      </c>
      <c r="AG37" s="119">
        <v>43.2</v>
      </c>
      <c r="AH37" s="119">
        <v>44.4</v>
      </c>
      <c r="AI37" s="119">
        <v>45.5</v>
      </c>
      <c r="AJ37" s="119">
        <v>46.7</v>
      </c>
      <c r="AK37" s="119">
        <v>48</v>
      </c>
      <c r="AL37" s="119">
        <v>49.3</v>
      </c>
      <c r="AM37" s="119">
        <v>50.8</v>
      </c>
      <c r="AN37" s="119">
        <v>52.3</v>
      </c>
      <c r="AO37" s="119">
        <v>53.9</v>
      </c>
      <c r="AP37" s="119">
        <v>55.6</v>
      </c>
      <c r="AQ37" s="119">
        <v>57.5</v>
      </c>
      <c r="AR37" s="119">
        <v>59.4</v>
      </c>
      <c r="AS37" s="120">
        <v>61.5</v>
      </c>
    </row>
    <row r="38" spans="1:45">
      <c r="A38" s="176"/>
      <c r="B38" s="182"/>
      <c r="C38" s="66" t="s">
        <v>36</v>
      </c>
      <c r="D38" s="67" t="s">
        <v>58</v>
      </c>
      <c r="E38" s="121">
        <v>33.1</v>
      </c>
      <c r="F38" s="121">
        <v>34</v>
      </c>
      <c r="G38" s="121">
        <v>35.200000000000003</v>
      </c>
      <c r="H38" s="121">
        <v>35.799999999999997</v>
      </c>
      <c r="I38" s="121">
        <v>35.6</v>
      </c>
      <c r="J38" s="121">
        <v>35.4</v>
      </c>
      <c r="K38" s="121">
        <v>34.700000000000003</v>
      </c>
      <c r="L38" s="121">
        <v>33.700000000000003</v>
      </c>
      <c r="M38" s="121">
        <v>33</v>
      </c>
      <c r="N38" s="121">
        <v>32.1</v>
      </c>
      <c r="O38" s="121">
        <v>31.3</v>
      </c>
      <c r="P38" s="121">
        <v>30.2</v>
      </c>
      <c r="Q38" s="121">
        <v>29.4</v>
      </c>
      <c r="R38" s="121">
        <v>28.5</v>
      </c>
      <c r="S38" s="121">
        <v>27.7</v>
      </c>
      <c r="T38" s="121">
        <v>27</v>
      </c>
      <c r="U38" s="121">
        <v>26.3</v>
      </c>
      <c r="V38" s="121">
        <v>25.7</v>
      </c>
      <c r="W38" s="121">
        <v>25.1</v>
      </c>
      <c r="X38" s="121">
        <v>24.5</v>
      </c>
      <c r="Y38" s="121">
        <v>24</v>
      </c>
      <c r="Z38" s="121">
        <v>23.6</v>
      </c>
      <c r="AA38" s="121">
        <v>23.2</v>
      </c>
      <c r="AB38" s="121">
        <v>22.9</v>
      </c>
      <c r="AC38" s="121">
        <v>22.7</v>
      </c>
      <c r="AD38" s="121">
        <v>22.5</v>
      </c>
      <c r="AE38" s="121">
        <v>22.4</v>
      </c>
      <c r="AF38" s="121">
        <v>22.3</v>
      </c>
      <c r="AG38" s="121">
        <v>22.2</v>
      </c>
      <c r="AH38" s="121">
        <v>22.3</v>
      </c>
      <c r="AI38" s="121">
        <v>22.3</v>
      </c>
      <c r="AJ38" s="121">
        <v>22.4</v>
      </c>
      <c r="AK38" s="121">
        <v>22.6</v>
      </c>
      <c r="AL38" s="121">
        <v>22.9</v>
      </c>
      <c r="AM38" s="121">
        <v>23.3</v>
      </c>
      <c r="AN38" s="121">
        <v>23.7</v>
      </c>
      <c r="AO38" s="121">
        <v>24.2</v>
      </c>
      <c r="AP38" s="121">
        <v>24.9</v>
      </c>
      <c r="AQ38" s="121">
        <v>25.6</v>
      </c>
      <c r="AR38" s="121">
        <v>26.4</v>
      </c>
      <c r="AS38" s="122">
        <v>27.4</v>
      </c>
    </row>
    <row r="39" spans="1:45">
      <c r="A39" s="177"/>
      <c r="B39" s="183"/>
      <c r="C39" s="68" t="s">
        <v>38</v>
      </c>
      <c r="D39" s="69" t="s">
        <v>59</v>
      </c>
      <c r="E39" s="123">
        <v>33.1</v>
      </c>
      <c r="F39" s="123">
        <v>34</v>
      </c>
      <c r="G39" s="123">
        <v>35.200000000000003</v>
      </c>
      <c r="H39" s="123">
        <v>35.799999999999997</v>
      </c>
      <c r="I39" s="123">
        <v>35.6</v>
      </c>
      <c r="J39" s="123">
        <v>35.4</v>
      </c>
      <c r="K39" s="123">
        <v>34.700000000000003</v>
      </c>
      <c r="L39" s="123">
        <v>33.6</v>
      </c>
      <c r="M39" s="123">
        <v>32.5</v>
      </c>
      <c r="N39" s="123">
        <v>31</v>
      </c>
      <c r="O39" s="123">
        <v>29.3</v>
      </c>
      <c r="P39" s="123">
        <v>27.2</v>
      </c>
      <c r="Q39" s="123">
        <v>25.3</v>
      </c>
      <c r="R39" s="123">
        <v>23.4</v>
      </c>
      <c r="S39" s="123">
        <v>21.6</v>
      </c>
      <c r="T39" s="123">
        <v>19.899999999999999</v>
      </c>
      <c r="U39" s="123">
        <v>18.100000000000001</v>
      </c>
      <c r="V39" s="123">
        <v>16.399999999999999</v>
      </c>
      <c r="W39" s="123">
        <v>14.8</v>
      </c>
      <c r="X39" s="123">
        <v>13.1</v>
      </c>
      <c r="Y39" s="123">
        <v>11.6</v>
      </c>
      <c r="Z39" s="123">
        <v>10.1</v>
      </c>
      <c r="AA39" s="123">
        <v>8.6999999999999993</v>
      </c>
      <c r="AB39" s="123">
        <v>7.3</v>
      </c>
      <c r="AC39" s="123">
        <v>6</v>
      </c>
      <c r="AD39" s="123">
        <v>4.8</v>
      </c>
      <c r="AE39" s="123">
        <v>4.5</v>
      </c>
      <c r="AF39" s="123">
        <v>4.2</v>
      </c>
      <c r="AG39" s="123">
        <v>3.2</v>
      </c>
      <c r="AH39" s="123">
        <v>2.8</v>
      </c>
      <c r="AI39" s="123">
        <v>2.7</v>
      </c>
      <c r="AJ39" s="123">
        <v>2.2999999999999998</v>
      </c>
      <c r="AK39" s="123">
        <v>1.4</v>
      </c>
      <c r="AL39" s="123">
        <v>1.3</v>
      </c>
      <c r="AM39" s="123">
        <v>0.7</v>
      </c>
      <c r="AN39" s="123">
        <v>0.7</v>
      </c>
      <c r="AO39" s="123">
        <v>0.7</v>
      </c>
      <c r="AP39" s="123">
        <v>0.6</v>
      </c>
      <c r="AQ39" s="123">
        <v>0.6</v>
      </c>
      <c r="AR39" s="123">
        <v>0.6</v>
      </c>
      <c r="AS39" s="124">
        <v>0.6</v>
      </c>
    </row>
    <row r="40" spans="1:45">
      <c r="A40" s="184"/>
      <c r="B40" s="184"/>
      <c r="C40" s="184"/>
      <c r="D40" s="184"/>
      <c r="E40" s="184"/>
      <c r="F40" s="184"/>
      <c r="G40" s="184"/>
      <c r="H40" s="184"/>
      <c r="I40" s="184"/>
      <c r="J40" s="184"/>
      <c r="K40" s="184"/>
      <c r="L40" s="184"/>
      <c r="M40" s="184"/>
      <c r="N40" s="184"/>
      <c r="O40" s="184"/>
      <c r="P40" s="184"/>
    </row>
    <row r="41" spans="1:45">
      <c r="A41" s="89" t="s">
        <v>60</v>
      </c>
      <c r="B41" s="89"/>
      <c r="C41" s="89"/>
      <c r="D41" s="89"/>
      <c r="E41" s="125"/>
      <c r="F41" s="125"/>
      <c r="G41" s="125"/>
      <c r="H41" s="125"/>
      <c r="I41" s="125"/>
      <c r="J41" s="125"/>
      <c r="K41" s="125"/>
      <c r="L41" s="125"/>
      <c r="M41" s="125"/>
    </row>
    <row r="42" spans="1:45">
      <c r="A42" s="89"/>
      <c r="B42" s="89"/>
      <c r="C42" s="89"/>
      <c r="D42" s="89"/>
      <c r="E42" s="125"/>
      <c r="F42" s="125"/>
      <c r="G42" s="125"/>
      <c r="H42" s="125"/>
      <c r="I42" s="125"/>
      <c r="J42" s="125"/>
      <c r="K42" s="125"/>
      <c r="L42" s="125"/>
      <c r="M42" s="125"/>
    </row>
    <row r="43" spans="1:45">
      <c r="A43" s="89" t="s">
        <v>61</v>
      </c>
      <c r="B43" s="89"/>
      <c r="C43" s="89"/>
      <c r="D43" s="89"/>
      <c r="E43" s="125"/>
      <c r="F43" s="125"/>
      <c r="G43" s="125"/>
      <c r="H43" s="125"/>
      <c r="I43" s="125"/>
      <c r="J43" s="125"/>
      <c r="K43" s="125"/>
      <c r="L43" s="125"/>
      <c r="M43" s="125"/>
    </row>
    <row r="44" spans="1:45" ht="44.25" customHeight="1">
      <c r="A44" s="174" t="s">
        <v>159</v>
      </c>
      <c r="B44" s="174"/>
      <c r="C44" s="174"/>
      <c r="D44" s="174"/>
      <c r="E44" s="174"/>
      <c r="F44" s="174"/>
      <c r="G44" s="174"/>
      <c r="H44" s="174"/>
      <c r="I44" s="174"/>
      <c r="J44" s="126"/>
      <c r="K44" s="126"/>
      <c r="L44" s="126"/>
      <c r="M44" s="126"/>
    </row>
    <row r="45" spans="1:45" ht="30" customHeight="1">
      <c r="A45" s="174" t="s">
        <v>160</v>
      </c>
      <c r="B45" s="174"/>
      <c r="C45" s="174"/>
      <c r="D45" s="174"/>
      <c r="E45" s="174"/>
      <c r="F45" s="174"/>
      <c r="G45" s="174"/>
      <c r="H45" s="174"/>
      <c r="I45" s="174"/>
      <c r="J45" s="126"/>
      <c r="K45" s="126"/>
      <c r="L45" s="126"/>
      <c r="M45" s="126"/>
    </row>
    <row r="46" spans="1:45" ht="14.5" customHeight="1">
      <c r="A46" s="174" t="s">
        <v>62</v>
      </c>
      <c r="B46" s="174"/>
      <c r="C46" s="174"/>
      <c r="D46" s="174"/>
      <c r="E46" s="174"/>
      <c r="F46" s="174"/>
      <c r="G46" s="174"/>
      <c r="H46" s="174"/>
      <c r="I46" s="174"/>
      <c r="J46" s="126"/>
      <c r="K46" s="126"/>
      <c r="L46" s="126"/>
      <c r="M46" s="126"/>
    </row>
    <row r="47" spans="1:45">
      <c r="A47" s="14"/>
    </row>
    <row r="48" spans="1:45">
      <c r="A48" s="14"/>
    </row>
    <row r="49" spans="1:1">
      <c r="A49" s="14"/>
    </row>
    <row r="50" spans="1:1">
      <c r="A50" s="14"/>
    </row>
  </sheetData>
  <mergeCells count="22">
    <mergeCell ref="A44:I44"/>
    <mergeCell ref="A45:I45"/>
    <mergeCell ref="A46:I46"/>
    <mergeCell ref="A40:P40"/>
    <mergeCell ref="A28:A33"/>
    <mergeCell ref="B28:B30"/>
    <mergeCell ref="B31:B33"/>
    <mergeCell ref="A34:A39"/>
    <mergeCell ref="B34:B36"/>
    <mergeCell ref="B37:B39"/>
    <mergeCell ref="A16:A21"/>
    <mergeCell ref="B16:B18"/>
    <mergeCell ref="B19:B21"/>
    <mergeCell ref="A22:A27"/>
    <mergeCell ref="B22:B24"/>
    <mergeCell ref="B25:B27"/>
    <mergeCell ref="A4:A9"/>
    <mergeCell ref="B4:B6"/>
    <mergeCell ref="B7:B9"/>
    <mergeCell ref="A10:A15"/>
    <mergeCell ref="B10:B12"/>
    <mergeCell ref="B13:B15"/>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8A3F1E-462E-43B6-A6C1-9DEFA1D9323D}">
  <sheetPr>
    <pageSetUpPr fitToPage="1"/>
  </sheetPr>
  <dimension ref="A1:T48"/>
  <sheetViews>
    <sheetView showGridLines="0" zoomScale="83" zoomScaleNormal="85" workbookViewId="0">
      <selection sqref="A1:M1"/>
    </sheetView>
  </sheetViews>
  <sheetFormatPr defaultColWidth="8.81640625" defaultRowHeight="14.5"/>
  <cols>
    <col min="1" max="1" width="22.1796875" style="11" customWidth="1"/>
    <col min="2" max="2" width="38.81640625" style="11" customWidth="1"/>
    <col min="3" max="3" width="4.1796875" style="11" customWidth="1"/>
    <col min="4" max="6" width="21.453125" style="11" customWidth="1"/>
    <col min="7" max="8" width="18.1796875" style="11" customWidth="1"/>
    <col min="9" max="9" width="1" style="11" customWidth="1"/>
    <col min="10" max="10" width="15.453125" style="25" customWidth="1"/>
    <col min="11" max="11" width="26.1796875" style="26" customWidth="1"/>
    <col min="12" max="13" width="29.1796875" style="26" customWidth="1"/>
    <col min="14" max="14" width="29.81640625" style="11" bestFit="1" customWidth="1"/>
    <col min="15" max="15" width="20.7265625" style="11" bestFit="1" customWidth="1"/>
    <col min="16" max="16" width="32.1796875" style="11" hidden="1" customWidth="1"/>
    <col min="17" max="20" width="8.81640625" style="11" hidden="1" customWidth="1"/>
    <col min="21" max="23" width="8.81640625" style="11" bestFit="1" customWidth="1"/>
    <col min="24" max="16384" width="8.81640625" style="11"/>
  </cols>
  <sheetData>
    <row r="1" spans="1:19" ht="23.5">
      <c r="A1" s="186" t="s">
        <v>63</v>
      </c>
      <c r="B1" s="186"/>
      <c r="C1" s="186"/>
      <c r="D1" s="186"/>
      <c r="E1" s="186"/>
      <c r="F1" s="186"/>
      <c r="G1" s="186"/>
      <c r="H1" s="186"/>
      <c r="I1" s="186"/>
      <c r="J1" s="186"/>
      <c r="K1" s="186"/>
      <c r="L1" s="186"/>
      <c r="M1" s="186"/>
    </row>
    <row r="2" spans="1:19" ht="16">
      <c r="A2" s="187" t="s">
        <v>64</v>
      </c>
      <c r="B2" s="187"/>
      <c r="C2" s="187"/>
      <c r="D2" s="187"/>
      <c r="E2" s="187"/>
      <c r="F2" s="187"/>
      <c r="G2" s="187"/>
      <c r="H2" s="187"/>
      <c r="J2" s="19" t="s">
        <v>65</v>
      </c>
      <c r="K2" s="20"/>
      <c r="L2" s="20"/>
      <c r="M2" s="20"/>
    </row>
    <row r="3" spans="1:19" ht="16">
      <c r="A3" s="41" t="s">
        <v>85</v>
      </c>
      <c r="B3" s="109" t="s">
        <v>33</v>
      </c>
      <c r="C3" s="2"/>
      <c r="D3" s="2" t="s">
        <v>138</v>
      </c>
      <c r="E3" s="2"/>
      <c r="F3" s="2"/>
      <c r="G3" s="2"/>
      <c r="H3" s="2"/>
      <c r="J3" s="104" t="str">
        <f>A5</f>
        <v>Showing: Population (IGR Box 8.1)  | Underlying cash balance as % of GDP</v>
      </c>
      <c r="K3" s="105"/>
      <c r="L3" s="105"/>
      <c r="M3" s="105"/>
    </row>
    <row r="4" spans="1:19" ht="14.65" customHeight="1">
      <c r="A4" s="41" t="s">
        <v>86</v>
      </c>
      <c r="B4" s="109" t="s">
        <v>14</v>
      </c>
      <c r="C4" s="2"/>
      <c r="D4" s="2" t="s">
        <v>138</v>
      </c>
      <c r="E4" s="2"/>
      <c r="F4" s="2"/>
      <c r="G4" s="2"/>
      <c r="H4" s="2"/>
      <c r="J4" s="188" t="s">
        <v>66</v>
      </c>
      <c r="K4" s="188" t="str" cm="1">
        <f t="array" ref="K4">INDEX('Table 4a&amp;5a'!$C$4:$C$39,MATCH($B$3,'Table 4a&amp;5a'!$A$4:$A$39,0)+(MATCH($B$4,{"Underlying cash balance","Gross debt"},0)-1)*3+0)&amp;" — "&amp;INDEX('Table 4a&amp;5a'!$D$4:$D$39,MATCH($B$3,'Table 4a&amp;5a'!$A$4:$A$39,0)+(MATCH($B$4,{"Underlying cash balance","Gross debt"},0)-1)*3+0)</f>
        <v>Lower — Long-run NOM, 185,000; Long-run fertility rate 1.24</v>
      </c>
      <c r="L4" s="188" t="str" cm="1">
        <f t="array" ref="L4">INDEX('Table 4a&amp;5a'!$C$4:$C$39,MATCH($B$3,'Table 4a&amp;5a'!$A$4:$A$39,0)+(MATCH($B$4,{"Underlying cash balance","Gross debt"},0)-1)*3+1)&amp;" — "&amp;INDEX('Table 4a&amp;5a'!$D$4:$D$39,MATCH($B$3,'Table 4a&amp;5a'!$A$4:$A$39,0)+(MATCH($B$4,{"Underlying cash balance","Gross debt"},0)-1)*3+1)</f>
        <v>Baseline — Long-run NOM, 235,000; Long-run fertility rate 1.34</v>
      </c>
      <c r="M4" s="188" t="str" cm="1">
        <f t="array" ref="M4">INDEX('Table 4a&amp;5a'!$C$4:$C$39,MATCH($B$3,'Table 4a&amp;5a'!$A$4:$A$39,0)+(MATCH($B$4,{"Underlying cash balance","Gross debt"},0)-1)*3+2)&amp;" — "&amp;INDEX('Table 4a&amp;5a'!$D$4:$D$39,MATCH($B$3,'Table 4a&amp;5a'!$A$4:$A$39,0)+(MATCH($B$4,{"Underlying cash balance","Gross debt"},0)-1)*3+2)</f>
        <v>Higher — Long-run NOM, 285,000; Long-run fertility rate 1.44</v>
      </c>
    </row>
    <row r="5" spans="1:19" ht="14.65" customHeight="1">
      <c r="A5" s="189" t="str">
        <f>"Showing: "&amp;B3&amp;" | "&amp;B4&amp;" as % of GDP"</f>
        <v>Showing: Population (IGR Box 8.1)  | Underlying cash balance as % of GDP</v>
      </c>
      <c r="B5" s="189"/>
      <c r="C5" s="189"/>
      <c r="D5" s="189"/>
      <c r="E5" s="189"/>
      <c r="F5" s="189"/>
      <c r="G5" s="189"/>
      <c r="H5" s="189"/>
      <c r="J5" s="188"/>
      <c r="K5" s="188"/>
      <c r="L5" s="188"/>
      <c r="M5" s="188"/>
    </row>
    <row r="6" spans="1:19" ht="14.65" customHeight="1">
      <c r="A6" s="189"/>
      <c r="B6" s="189"/>
      <c r="C6" s="189"/>
      <c r="D6" s="189"/>
      <c r="E6" s="189"/>
      <c r="F6" s="189"/>
      <c r="G6" s="189"/>
      <c r="H6" s="189"/>
      <c r="J6" s="188"/>
      <c r="K6" s="188"/>
      <c r="L6" s="188"/>
      <c r="M6" s="188"/>
      <c r="N6" s="21"/>
    </row>
    <row r="7" spans="1:19" ht="16" customHeight="1">
      <c r="A7" s="189"/>
      <c r="B7" s="189"/>
      <c r="C7" s="189"/>
      <c r="D7" s="189"/>
      <c r="E7" s="189"/>
      <c r="F7" s="189"/>
      <c r="G7" s="189"/>
      <c r="H7" s="189"/>
      <c r="J7" s="188"/>
      <c r="K7" s="188"/>
      <c r="L7" s="188"/>
      <c r="M7" s="188"/>
      <c r="N7" s="21"/>
      <c r="P7" s="22"/>
    </row>
    <row r="8" spans="1:19" ht="16" customHeight="1">
      <c r="J8" s="106" t="str">
        <f>INDEX('Table 4a&amp;5a'!$E$3:$AS$3,1,1)</f>
        <v>2025-26</v>
      </c>
      <c r="K8" s="107" cm="1">
        <f t="array" ref="K8">INDEX('Table 4a&amp;5a'!$E$4:$AS$39,MATCH($B$3,'Table 4a&amp;5a'!$A$4:$A$39,0)+(MATCH($B$4,{"Underlying cash balance","Gross debt"},0)-1)*3+0,1)</f>
        <v>-1</v>
      </c>
      <c r="L8" s="107" cm="1">
        <f t="array" ref="L8">INDEX('Table 4a&amp;5a'!$E$4:$AS$39,MATCH($B$3,'Table 4a&amp;5a'!$A$4:$A$39,0)+(MATCH($B$4,{"Underlying cash balance","Gross debt"},0)-1)*3+1,1)</f>
        <v>-1</v>
      </c>
      <c r="M8" s="107" cm="1">
        <f t="array" ref="M8">INDEX('Table 4a&amp;5a'!$E$4:$AS$39,MATCH($B$3,'Table 4a&amp;5a'!$A$4:$A$39,0)+(MATCH($B$4,{"Underlying cash balance","Gross debt"},0)-1)*3+2,1)</f>
        <v>-1</v>
      </c>
    </row>
    <row r="9" spans="1:19" ht="16" customHeight="1">
      <c r="J9" s="106" t="str">
        <f>INDEX('Table 4a&amp;5a'!$E$3:$AS$3,1,2)</f>
        <v>2026-27</v>
      </c>
      <c r="K9" s="108" cm="1">
        <f t="array" ref="K9">INDEX('Table 4a&amp;5a'!$E$4:$AS$39,MATCH($B$3,'Table 4a&amp;5a'!$A$4:$A$39,0)+(MATCH($B$4,{"Underlying cash balance","Gross debt"},0)-1)*3+0,2)</f>
        <v>-1</v>
      </c>
      <c r="L9" s="108" cm="1">
        <f t="array" ref="L9">INDEX('Table 4a&amp;5a'!$E$4:$AS$39,MATCH($B$3,'Table 4a&amp;5a'!$A$4:$A$39,0)+(MATCH($B$4,{"Underlying cash balance","Gross debt"},0)-1)*3+1,2)</f>
        <v>-1</v>
      </c>
      <c r="M9" s="108" cm="1">
        <f t="array" ref="M9">INDEX('Table 4a&amp;5a'!$E$4:$AS$39,MATCH($B$3,'Table 4a&amp;5a'!$A$4:$A$39,0)+(MATCH($B$4,{"Underlying cash balance","Gross debt"},0)-1)*3+2,2)</f>
        <v>-1</v>
      </c>
    </row>
    <row r="10" spans="1:19" ht="16" customHeight="1">
      <c r="J10" s="106" t="str">
        <f>INDEX('Table 4a&amp;5a'!$E$3:$AS$3,1,3)</f>
        <v>2027-28</v>
      </c>
      <c r="K10" s="107" cm="1">
        <f t="array" ref="K10">INDEX('Table 4a&amp;5a'!$E$4:$AS$39,MATCH($B$3,'Table 4a&amp;5a'!$A$4:$A$39,0)+(MATCH($B$4,{"Underlying cash balance","Gross debt"},0)-1)*3+0,3)</f>
        <v>-1</v>
      </c>
      <c r="L10" s="107" cm="1">
        <f t="array" ref="L10">INDEX('Table 4a&amp;5a'!$E$4:$AS$39,MATCH($B$3,'Table 4a&amp;5a'!$A$4:$A$39,0)+(MATCH($B$4,{"Underlying cash balance","Gross debt"},0)-1)*3+1,3)</f>
        <v>-1</v>
      </c>
      <c r="M10" s="107" cm="1">
        <f t="array" ref="M10">INDEX('Table 4a&amp;5a'!$E$4:$AS$39,MATCH($B$3,'Table 4a&amp;5a'!$A$4:$A$39,0)+(MATCH($B$4,{"Underlying cash balance","Gross debt"},0)-1)*3+2,3)</f>
        <v>-1</v>
      </c>
      <c r="P10" s="23" t="s">
        <v>33</v>
      </c>
      <c r="Q10" s="23" t="s">
        <v>14</v>
      </c>
      <c r="R10" s="23"/>
      <c r="S10" s="23"/>
    </row>
    <row r="11" spans="1:19" ht="16" customHeight="1">
      <c r="J11" s="106" t="str">
        <f>INDEX('Table 4a&amp;5a'!$E$3:$AS$3,1,4)</f>
        <v>2028-29</v>
      </c>
      <c r="K11" s="108" cm="1">
        <f t="array" ref="K11">INDEX('Table 4a&amp;5a'!$E$4:$AS$39,MATCH($B$3,'Table 4a&amp;5a'!$A$4:$A$39,0)+(MATCH($B$4,{"Underlying cash balance","Gross debt"},0)-1)*3+0,4)</f>
        <v>-1</v>
      </c>
      <c r="L11" s="108" cm="1">
        <f t="array" ref="L11">INDEX('Table 4a&amp;5a'!$E$4:$AS$39,MATCH($B$3,'Table 4a&amp;5a'!$A$4:$A$39,0)+(MATCH($B$4,{"Underlying cash balance","Gross debt"},0)-1)*3+1,4)</f>
        <v>-1</v>
      </c>
      <c r="M11" s="108" cm="1">
        <f t="array" ref="M11">INDEX('Table 4a&amp;5a'!$E$4:$AS$39,MATCH($B$3,'Table 4a&amp;5a'!$A$4:$A$39,0)+(MATCH($B$4,{"Underlying cash balance","Gross debt"},0)-1)*3+2,4)</f>
        <v>-1</v>
      </c>
      <c r="P11" s="23" t="s">
        <v>40</v>
      </c>
      <c r="Q11" s="23" t="s">
        <v>16</v>
      </c>
      <c r="R11" s="23"/>
      <c r="S11" s="23"/>
    </row>
    <row r="12" spans="1:19" ht="16" customHeight="1">
      <c r="J12" s="106" t="str">
        <f>INDEX('Table 4a&amp;5a'!$E$3:$AS$3,1,5)</f>
        <v>2029-30</v>
      </c>
      <c r="K12" s="107" cm="1">
        <f t="array" ref="K12">INDEX('Table 4a&amp;5a'!$E$4:$AS$39,MATCH($B$3,'Table 4a&amp;5a'!$A$4:$A$39,0)+(MATCH($B$4,{"Underlying cash balance","Gross debt"},0)-1)*3+0,5)</f>
        <v>-0.7</v>
      </c>
      <c r="L12" s="107" cm="1">
        <f t="array" ref="L12">INDEX('Table 4a&amp;5a'!$E$4:$AS$39,MATCH($B$3,'Table 4a&amp;5a'!$A$4:$A$39,0)+(MATCH($B$4,{"Underlying cash balance","Gross debt"},0)-1)*3+1,5)</f>
        <v>-0.7</v>
      </c>
      <c r="M12" s="107" cm="1">
        <f t="array" ref="M12">INDEX('Table 4a&amp;5a'!$E$4:$AS$39,MATCH($B$3,'Table 4a&amp;5a'!$A$4:$A$39,0)+(MATCH($B$4,{"Underlying cash balance","Gross debt"},0)-1)*3+2,5)</f>
        <v>-0.7</v>
      </c>
      <c r="N12" s="21"/>
      <c r="P12" s="23" t="s">
        <v>44</v>
      </c>
      <c r="Q12" s="23"/>
      <c r="R12" s="23"/>
      <c r="S12" s="23"/>
    </row>
    <row r="13" spans="1:19" ht="16" customHeight="1">
      <c r="J13" s="106" t="str">
        <f>INDEX('Table 4a&amp;5a'!$E$3:$AS$3,1,6)</f>
        <v>2030-31</v>
      </c>
      <c r="K13" s="108" cm="1">
        <f t="array" ref="K13">INDEX('Table 4a&amp;5a'!$E$4:$AS$39,MATCH($B$3,'Table 4a&amp;5a'!$A$4:$A$39,0)+(MATCH($B$4,{"Underlying cash balance","Gross debt"},0)-1)*3+0,6)</f>
        <v>-0.8</v>
      </c>
      <c r="L13" s="108" cm="1">
        <f t="array" ref="L13">INDEX('Table 4a&amp;5a'!$E$4:$AS$39,MATCH($B$3,'Table 4a&amp;5a'!$A$4:$A$39,0)+(MATCH($B$4,{"Underlying cash balance","Gross debt"},0)-1)*3+1,6)</f>
        <v>-0.8</v>
      </c>
      <c r="M13" s="108" cm="1">
        <f t="array" ref="M13">INDEX('Table 4a&amp;5a'!$E$4:$AS$39,MATCH($B$3,'Table 4a&amp;5a'!$A$4:$A$39,0)+(MATCH($B$4,{"Underlying cash balance","Gross debt"},0)-1)*3+2,6)</f>
        <v>-0.8</v>
      </c>
      <c r="N13" s="21"/>
      <c r="P13" s="23" t="s">
        <v>48</v>
      </c>
      <c r="Q13" s="23"/>
      <c r="R13" s="23"/>
      <c r="S13" s="23"/>
    </row>
    <row r="14" spans="1:19" ht="16" customHeight="1">
      <c r="J14" s="106" t="str">
        <f>INDEX('Table 4a&amp;5a'!$E$3:$AS$3,1,7)</f>
        <v>2031-32</v>
      </c>
      <c r="K14" s="107" cm="1">
        <f t="array" ref="K14">INDEX('Table 4a&amp;5a'!$E$4:$AS$39,MATCH($B$3,'Table 4a&amp;5a'!$A$4:$A$39,0)+(MATCH($B$4,{"Underlying cash balance","Gross debt"},0)-1)*3+0,7)</f>
        <v>-0.5</v>
      </c>
      <c r="L14" s="107" cm="1">
        <f t="array" ref="L14">INDEX('Table 4a&amp;5a'!$E$4:$AS$39,MATCH($B$3,'Table 4a&amp;5a'!$A$4:$A$39,0)+(MATCH($B$4,{"Underlying cash balance","Gross debt"},0)-1)*3+1,7)</f>
        <v>-0.5</v>
      </c>
      <c r="M14" s="107" cm="1">
        <f t="array" ref="M14">INDEX('Table 4a&amp;5a'!$E$4:$AS$39,MATCH($B$3,'Table 4a&amp;5a'!$A$4:$A$39,0)+(MATCH($B$4,{"Underlying cash balance","Gross debt"},0)-1)*3+2,7)</f>
        <v>-0.5</v>
      </c>
      <c r="P14" s="24" t="s">
        <v>52</v>
      </c>
      <c r="Q14" s="23"/>
      <c r="R14" s="23"/>
      <c r="S14" s="23"/>
    </row>
    <row r="15" spans="1:19" ht="16" customHeight="1">
      <c r="J15" s="106" t="str">
        <f>INDEX('Table 4a&amp;5a'!$E$3:$AS$3,1,8)</f>
        <v>2032-33</v>
      </c>
      <c r="K15" s="108" cm="1">
        <f t="array" ref="K15">INDEX('Table 4a&amp;5a'!$E$4:$AS$39,MATCH($B$3,'Table 4a&amp;5a'!$A$4:$A$39,0)+(MATCH($B$4,{"Underlying cash balance","Gross debt"},0)-1)*3+0,8)</f>
        <v>-0.6</v>
      </c>
      <c r="L15" s="108" cm="1">
        <f t="array" ref="L15">INDEX('Table 4a&amp;5a'!$E$4:$AS$39,MATCH($B$3,'Table 4a&amp;5a'!$A$4:$A$39,0)+(MATCH($B$4,{"Underlying cash balance","Gross debt"},0)-1)*3+1,8)</f>
        <v>-0.6</v>
      </c>
      <c r="M15" s="108" cm="1">
        <f t="array" ref="M15">INDEX('Table 4a&amp;5a'!$E$4:$AS$39,MATCH($B$3,'Table 4a&amp;5a'!$A$4:$A$39,0)+(MATCH($B$4,{"Underlying cash balance","Gross debt"},0)-1)*3+2,8)</f>
        <v>-0.6</v>
      </c>
      <c r="P15" s="23" t="s">
        <v>56</v>
      </c>
      <c r="Q15" s="23"/>
      <c r="R15" s="23"/>
      <c r="S15" s="23"/>
    </row>
    <row r="16" spans="1:19" ht="16" customHeight="1">
      <c r="J16" s="106" t="str">
        <f>INDEX('Table 4a&amp;5a'!$E$3:$AS$3,1,9)</f>
        <v>2033-34</v>
      </c>
      <c r="K16" s="107" cm="1">
        <f t="array" ref="K16">INDEX('Table 4a&amp;5a'!$E$4:$AS$39,MATCH($B$3,'Table 4a&amp;5a'!$A$4:$A$39,0)+(MATCH($B$4,{"Underlying cash balance","Gross debt"},0)-1)*3+0,9)</f>
        <v>-0.6</v>
      </c>
      <c r="L16" s="107" cm="1">
        <f t="array" ref="L16">INDEX('Table 4a&amp;5a'!$E$4:$AS$39,MATCH($B$3,'Table 4a&amp;5a'!$A$4:$A$39,0)+(MATCH($B$4,{"Underlying cash balance","Gross debt"},0)-1)*3+1,9)</f>
        <v>-0.6</v>
      </c>
      <c r="M16" s="107" cm="1">
        <f t="array" ref="M16">INDEX('Table 4a&amp;5a'!$E$4:$AS$39,MATCH($B$3,'Table 4a&amp;5a'!$A$4:$A$39,0)+(MATCH($B$4,{"Underlying cash balance","Gross debt"},0)-1)*3+2,9)</f>
        <v>-0.6</v>
      </c>
    </row>
    <row r="17" spans="10:13" ht="16" customHeight="1">
      <c r="J17" s="106" t="str">
        <f>INDEX('Table 4a&amp;5a'!$E$3:$AS$3,1,10)</f>
        <v>2034-35</v>
      </c>
      <c r="K17" s="108" cm="1">
        <f t="array" ref="K17">INDEX('Table 4a&amp;5a'!$E$4:$AS$39,MATCH($B$3,'Table 4a&amp;5a'!$A$4:$A$39,0)+(MATCH($B$4,{"Underlying cash balance","Gross debt"},0)-1)*3+0,10)</f>
        <v>-0.6</v>
      </c>
      <c r="L17" s="108" cm="1">
        <f t="array" ref="L17">INDEX('Table 4a&amp;5a'!$E$4:$AS$39,MATCH($B$3,'Table 4a&amp;5a'!$A$4:$A$39,0)+(MATCH($B$4,{"Underlying cash balance","Gross debt"},0)-1)*3+1,10)</f>
        <v>-0.6</v>
      </c>
      <c r="M17" s="108" cm="1">
        <f t="array" ref="M17">INDEX('Table 4a&amp;5a'!$E$4:$AS$39,MATCH($B$3,'Table 4a&amp;5a'!$A$4:$A$39,0)+(MATCH($B$4,{"Underlying cash balance","Gross debt"},0)-1)*3+2,10)</f>
        <v>-0.6</v>
      </c>
    </row>
    <row r="18" spans="10:13" ht="16" customHeight="1">
      <c r="J18" s="106" t="str">
        <f>INDEX('Table 4a&amp;5a'!$E$3:$AS$3,1,11)</f>
        <v>2035-36</v>
      </c>
      <c r="K18" s="107" cm="1">
        <f t="array" ref="K18">INDEX('Table 4a&amp;5a'!$E$4:$AS$39,MATCH($B$3,'Table 4a&amp;5a'!$A$4:$A$39,0)+(MATCH($B$4,{"Underlying cash balance","Gross debt"},0)-1)*3+0,11)</f>
        <v>-0.4</v>
      </c>
      <c r="L18" s="107" cm="1">
        <f t="array" ref="L18">INDEX('Table 4a&amp;5a'!$E$4:$AS$39,MATCH($B$3,'Table 4a&amp;5a'!$A$4:$A$39,0)+(MATCH($B$4,{"Underlying cash balance","Gross debt"},0)-1)*3+1,11)</f>
        <v>-0.4</v>
      </c>
      <c r="M18" s="107" cm="1">
        <f t="array" ref="M18">INDEX('Table 4a&amp;5a'!$E$4:$AS$39,MATCH($B$3,'Table 4a&amp;5a'!$A$4:$A$39,0)+(MATCH($B$4,{"Underlying cash balance","Gross debt"},0)-1)*3+2,11)</f>
        <v>-0.4</v>
      </c>
    </row>
    <row r="19" spans="10:13" ht="16" customHeight="1">
      <c r="J19" s="106" t="str">
        <f>INDEX('Table 4a&amp;5a'!$E$3:$AS$3,1,12)</f>
        <v>2036-37</v>
      </c>
      <c r="K19" s="108" cm="1">
        <f t="array" ref="K19">INDEX('Table 4a&amp;5a'!$E$4:$AS$39,MATCH($B$3,'Table 4a&amp;5a'!$A$4:$A$39,0)+(MATCH($B$4,{"Underlying cash balance","Gross debt"},0)-1)*3+0,12)</f>
        <v>-0.3</v>
      </c>
      <c r="L19" s="108" cm="1">
        <f t="array" ref="L19">INDEX('Table 4a&amp;5a'!$E$4:$AS$39,MATCH($B$3,'Table 4a&amp;5a'!$A$4:$A$39,0)+(MATCH($B$4,{"Underlying cash balance","Gross debt"},0)-1)*3+1,12)</f>
        <v>-0.3</v>
      </c>
      <c r="M19" s="108" cm="1">
        <f t="array" ref="M19">INDEX('Table 4a&amp;5a'!$E$4:$AS$39,MATCH($B$3,'Table 4a&amp;5a'!$A$4:$A$39,0)+(MATCH($B$4,{"Underlying cash balance","Gross debt"},0)-1)*3+2,12)</f>
        <v>-0.3</v>
      </c>
    </row>
    <row r="20" spans="10:13" ht="16" customHeight="1">
      <c r="J20" s="106" t="str">
        <f>INDEX('Table 4a&amp;5a'!$E$3:$AS$3,1,13)</f>
        <v>2037-38</v>
      </c>
      <c r="K20" s="107" cm="1">
        <f t="array" ref="K20">INDEX('Table 4a&amp;5a'!$E$4:$AS$39,MATCH($B$3,'Table 4a&amp;5a'!$A$4:$A$39,0)+(MATCH($B$4,{"Underlying cash balance","Gross debt"},0)-1)*3+0,13)</f>
        <v>-0.4</v>
      </c>
      <c r="L20" s="107" cm="1">
        <f t="array" ref="L20">INDEX('Table 4a&amp;5a'!$E$4:$AS$39,MATCH($B$3,'Table 4a&amp;5a'!$A$4:$A$39,0)+(MATCH($B$4,{"Underlying cash balance","Gross debt"},0)-1)*3+1,13)</f>
        <v>-0.4</v>
      </c>
      <c r="M20" s="107" cm="1">
        <f t="array" ref="M20">INDEX('Table 4a&amp;5a'!$E$4:$AS$39,MATCH($B$3,'Table 4a&amp;5a'!$A$4:$A$39,0)+(MATCH($B$4,{"Underlying cash balance","Gross debt"},0)-1)*3+2,13)</f>
        <v>-0.4</v>
      </c>
    </row>
    <row r="21" spans="10:13" ht="16" customHeight="1">
      <c r="J21" s="106" t="str">
        <f>INDEX('Table 4a&amp;5a'!$E$3:$AS$3,1,14)</f>
        <v>2038-39</v>
      </c>
      <c r="K21" s="108" cm="1">
        <f t="array" ref="K21">INDEX('Table 4a&amp;5a'!$E$4:$AS$39,MATCH($B$3,'Table 4a&amp;5a'!$A$4:$A$39,0)+(MATCH($B$4,{"Underlying cash balance","Gross debt"},0)-1)*3+0,14)</f>
        <v>-0.4</v>
      </c>
      <c r="L21" s="108" cm="1">
        <f t="array" ref="L21">INDEX('Table 4a&amp;5a'!$E$4:$AS$39,MATCH($B$3,'Table 4a&amp;5a'!$A$4:$A$39,0)+(MATCH($B$4,{"Underlying cash balance","Gross debt"},0)-1)*3+1,14)</f>
        <v>-0.4</v>
      </c>
      <c r="M21" s="108" cm="1">
        <f t="array" ref="M21">INDEX('Table 4a&amp;5a'!$E$4:$AS$39,MATCH($B$3,'Table 4a&amp;5a'!$A$4:$A$39,0)+(MATCH($B$4,{"Underlying cash balance","Gross debt"},0)-1)*3+2,14)</f>
        <v>-0.4</v>
      </c>
    </row>
    <row r="22" spans="10:13" ht="16" customHeight="1">
      <c r="J22" s="106" t="str">
        <f>INDEX('Table 4a&amp;5a'!$E$3:$AS$3,1,15)</f>
        <v>2039-40</v>
      </c>
      <c r="K22" s="107" cm="1">
        <f t="array" ref="K22">INDEX('Table 4a&amp;5a'!$E$4:$AS$39,MATCH($B$3,'Table 4a&amp;5a'!$A$4:$A$39,0)+(MATCH($B$4,{"Underlying cash balance","Gross debt"},0)-1)*3+0,15)</f>
        <v>-0.4</v>
      </c>
      <c r="L22" s="107" cm="1">
        <f t="array" ref="L22">INDEX('Table 4a&amp;5a'!$E$4:$AS$39,MATCH($B$3,'Table 4a&amp;5a'!$A$4:$A$39,0)+(MATCH($B$4,{"Underlying cash balance","Gross debt"},0)-1)*3+1,15)</f>
        <v>-0.4</v>
      </c>
      <c r="M22" s="107" cm="1">
        <f t="array" ref="M22">INDEX('Table 4a&amp;5a'!$E$4:$AS$39,MATCH($B$3,'Table 4a&amp;5a'!$A$4:$A$39,0)+(MATCH($B$4,{"Underlying cash balance","Gross debt"},0)-1)*3+2,15)</f>
        <v>-0.4</v>
      </c>
    </row>
    <row r="23" spans="10:13" ht="16" customHeight="1">
      <c r="J23" s="106" t="str">
        <f>INDEX('Table 4a&amp;5a'!$E$3:$AS$3,1,16)</f>
        <v>2040-41</v>
      </c>
      <c r="K23" s="108" cm="1">
        <f t="array" ref="K23">INDEX('Table 4a&amp;5a'!$E$4:$AS$39,MATCH($B$3,'Table 4a&amp;5a'!$A$4:$A$39,0)+(MATCH($B$4,{"Underlying cash balance","Gross debt"},0)-1)*3+0,16)</f>
        <v>-0.6</v>
      </c>
      <c r="L23" s="108" cm="1">
        <f t="array" ref="L23">INDEX('Table 4a&amp;5a'!$E$4:$AS$39,MATCH($B$3,'Table 4a&amp;5a'!$A$4:$A$39,0)+(MATCH($B$4,{"Underlying cash balance","Gross debt"},0)-1)*3+1,16)</f>
        <v>-0.6</v>
      </c>
      <c r="M23" s="108" cm="1">
        <f t="array" ref="M23">INDEX('Table 4a&amp;5a'!$E$4:$AS$39,MATCH($B$3,'Table 4a&amp;5a'!$A$4:$A$39,0)+(MATCH($B$4,{"Underlying cash balance","Gross debt"},0)-1)*3+2,16)</f>
        <v>-0.5</v>
      </c>
    </row>
    <row r="24" spans="10:13" ht="16" customHeight="1">
      <c r="J24" s="106" t="str">
        <f>INDEX('Table 4a&amp;5a'!$E$3:$AS$3,1,17)</f>
        <v>2041-42</v>
      </c>
      <c r="K24" s="107" cm="1">
        <f t="array" ref="K24">INDEX('Table 4a&amp;5a'!$E$4:$AS$39,MATCH($B$3,'Table 4a&amp;5a'!$A$4:$A$39,0)+(MATCH($B$4,{"Underlying cash balance","Gross debt"},0)-1)*3+0,17)</f>
        <v>-0.4</v>
      </c>
      <c r="L24" s="107" cm="1">
        <f t="array" ref="L24">INDEX('Table 4a&amp;5a'!$E$4:$AS$39,MATCH($B$3,'Table 4a&amp;5a'!$A$4:$A$39,0)+(MATCH($B$4,{"Underlying cash balance","Gross debt"},0)-1)*3+1,17)</f>
        <v>-0.4</v>
      </c>
      <c r="M24" s="107" cm="1">
        <f t="array" ref="M24">INDEX('Table 4a&amp;5a'!$E$4:$AS$39,MATCH($B$3,'Table 4a&amp;5a'!$A$4:$A$39,0)+(MATCH($B$4,{"Underlying cash balance","Gross debt"},0)-1)*3+2,17)</f>
        <v>-0.3</v>
      </c>
    </row>
    <row r="25" spans="10:13" ht="16" customHeight="1">
      <c r="J25" s="106" t="str">
        <f>INDEX('Table 4a&amp;5a'!$E$3:$AS$3,1,18)</f>
        <v>2042-43</v>
      </c>
      <c r="K25" s="108" cm="1">
        <f t="array" ref="K25">INDEX('Table 4a&amp;5a'!$E$4:$AS$39,MATCH($B$3,'Table 4a&amp;5a'!$A$4:$A$39,0)+(MATCH($B$4,{"Underlying cash balance","Gross debt"},0)-1)*3+0,18)</f>
        <v>-0.4</v>
      </c>
      <c r="L25" s="108" cm="1">
        <f t="array" ref="L25">INDEX('Table 4a&amp;5a'!$E$4:$AS$39,MATCH($B$3,'Table 4a&amp;5a'!$A$4:$A$39,0)+(MATCH($B$4,{"Underlying cash balance","Gross debt"},0)-1)*3+1,18)</f>
        <v>-0.4</v>
      </c>
      <c r="M25" s="108" cm="1">
        <f t="array" ref="M25">INDEX('Table 4a&amp;5a'!$E$4:$AS$39,MATCH($B$3,'Table 4a&amp;5a'!$A$4:$A$39,0)+(MATCH($B$4,{"Underlying cash balance","Gross debt"},0)-1)*3+2,18)</f>
        <v>-0.4</v>
      </c>
    </row>
    <row r="26" spans="10:13" ht="16" customHeight="1">
      <c r="J26" s="106" t="str">
        <f>INDEX('Table 4a&amp;5a'!$E$3:$AS$3,1,19)</f>
        <v>2043-44</v>
      </c>
      <c r="K26" s="107" cm="1">
        <f t="array" ref="K26">INDEX('Table 4a&amp;5a'!$E$4:$AS$39,MATCH($B$3,'Table 4a&amp;5a'!$A$4:$A$39,0)+(MATCH($B$4,{"Underlying cash balance","Gross debt"},0)-1)*3+0,19)</f>
        <v>-0.4</v>
      </c>
      <c r="L26" s="107" cm="1">
        <f t="array" ref="L26">INDEX('Table 4a&amp;5a'!$E$4:$AS$39,MATCH($B$3,'Table 4a&amp;5a'!$A$4:$A$39,0)+(MATCH($B$4,{"Underlying cash balance","Gross debt"},0)-1)*3+1,19)</f>
        <v>-0.4</v>
      </c>
      <c r="M26" s="107" cm="1">
        <f t="array" ref="M26">INDEX('Table 4a&amp;5a'!$E$4:$AS$39,MATCH($B$3,'Table 4a&amp;5a'!$A$4:$A$39,0)+(MATCH($B$4,{"Underlying cash balance","Gross debt"},0)-1)*3+2,19)</f>
        <v>-0.4</v>
      </c>
    </row>
    <row r="27" spans="10:13" ht="16" customHeight="1">
      <c r="J27" s="106" t="str">
        <f>INDEX('Table 4a&amp;5a'!$E$3:$AS$3,1,20)</f>
        <v>2044-45</v>
      </c>
      <c r="K27" s="108" cm="1">
        <f t="array" ref="K27">INDEX('Table 4a&amp;5a'!$E$4:$AS$39,MATCH($B$3,'Table 4a&amp;5a'!$A$4:$A$39,0)+(MATCH($B$4,{"Underlying cash balance","Gross debt"},0)-1)*3+0,20)</f>
        <v>-0.4</v>
      </c>
      <c r="L27" s="108" cm="1">
        <f t="array" ref="L27">INDEX('Table 4a&amp;5a'!$E$4:$AS$39,MATCH($B$3,'Table 4a&amp;5a'!$A$4:$A$39,0)+(MATCH($B$4,{"Underlying cash balance","Gross debt"},0)-1)*3+1,20)</f>
        <v>-0.4</v>
      </c>
      <c r="M27" s="108" cm="1">
        <f t="array" ref="M27">INDEX('Table 4a&amp;5a'!$E$4:$AS$39,MATCH($B$3,'Table 4a&amp;5a'!$A$4:$A$39,0)+(MATCH($B$4,{"Underlying cash balance","Gross debt"},0)-1)*3+2,20)</f>
        <v>-0.4</v>
      </c>
    </row>
    <row r="28" spans="10:13" ht="16" customHeight="1">
      <c r="J28" s="106" t="str">
        <f>INDEX('Table 4a&amp;5a'!$E$3:$AS$3,1,21)</f>
        <v>2045-46</v>
      </c>
      <c r="K28" s="107" cm="1">
        <f t="array" ref="K28">INDEX('Table 4a&amp;5a'!$E$4:$AS$39,MATCH($B$3,'Table 4a&amp;5a'!$A$4:$A$39,0)+(MATCH($B$4,{"Underlying cash balance","Gross debt"},0)-1)*3+0,21)</f>
        <v>-0.5</v>
      </c>
      <c r="L28" s="107" cm="1">
        <f t="array" ref="L28">INDEX('Table 4a&amp;5a'!$E$4:$AS$39,MATCH($B$3,'Table 4a&amp;5a'!$A$4:$A$39,0)+(MATCH($B$4,{"Underlying cash balance","Gross debt"},0)-1)*3+1,21)</f>
        <v>-0.4</v>
      </c>
      <c r="M28" s="107" cm="1">
        <f t="array" ref="M28">INDEX('Table 4a&amp;5a'!$E$4:$AS$39,MATCH($B$3,'Table 4a&amp;5a'!$A$4:$A$39,0)+(MATCH($B$4,{"Underlying cash balance","Gross debt"},0)-1)*3+2,21)</f>
        <v>-0.4</v>
      </c>
    </row>
    <row r="29" spans="10:13" ht="16" customHeight="1">
      <c r="J29" s="106" t="str">
        <f>INDEX('Table 4a&amp;5a'!$E$3:$AS$3,1,22)</f>
        <v>2046-47</v>
      </c>
      <c r="K29" s="108" cm="1">
        <f t="array" ref="K29">INDEX('Table 4a&amp;5a'!$E$4:$AS$39,MATCH($B$3,'Table 4a&amp;5a'!$A$4:$A$39,0)+(MATCH($B$4,{"Underlying cash balance","Gross debt"},0)-1)*3+0,22)</f>
        <v>-0.7</v>
      </c>
      <c r="L29" s="108" cm="1">
        <f t="array" ref="L29">INDEX('Table 4a&amp;5a'!$E$4:$AS$39,MATCH($B$3,'Table 4a&amp;5a'!$A$4:$A$39,0)+(MATCH($B$4,{"Underlying cash balance","Gross debt"},0)-1)*3+1,22)</f>
        <v>-0.7</v>
      </c>
      <c r="M29" s="108" cm="1">
        <f t="array" ref="M29">INDEX('Table 4a&amp;5a'!$E$4:$AS$39,MATCH($B$3,'Table 4a&amp;5a'!$A$4:$A$39,0)+(MATCH($B$4,{"Underlying cash balance","Gross debt"},0)-1)*3+2,22)</f>
        <v>-0.7</v>
      </c>
    </row>
    <row r="30" spans="10:13" ht="16" customHeight="1">
      <c r="J30" s="106" t="str">
        <f>INDEX('Table 4a&amp;5a'!$E$3:$AS$3,1,23)</f>
        <v>2047-48</v>
      </c>
      <c r="K30" s="107" cm="1">
        <f t="array" ref="K30">INDEX('Table 4a&amp;5a'!$E$4:$AS$39,MATCH($B$3,'Table 4a&amp;5a'!$A$4:$A$39,0)+(MATCH($B$4,{"Underlying cash balance","Gross debt"},0)-1)*3+0,23)</f>
        <v>-0.6</v>
      </c>
      <c r="L30" s="107" cm="1">
        <f t="array" ref="L30">INDEX('Table 4a&amp;5a'!$E$4:$AS$39,MATCH($B$3,'Table 4a&amp;5a'!$A$4:$A$39,0)+(MATCH($B$4,{"Underlying cash balance","Gross debt"},0)-1)*3+1,23)</f>
        <v>-0.5</v>
      </c>
      <c r="M30" s="107" cm="1">
        <f t="array" ref="M30">INDEX('Table 4a&amp;5a'!$E$4:$AS$39,MATCH($B$3,'Table 4a&amp;5a'!$A$4:$A$39,0)+(MATCH($B$4,{"Underlying cash balance","Gross debt"},0)-1)*3+2,23)</f>
        <v>-0.5</v>
      </c>
    </row>
    <row r="31" spans="10:13" ht="16" customHeight="1">
      <c r="J31" s="106" t="str">
        <f>INDEX('Table 4a&amp;5a'!$E$3:$AS$3,1,24)</f>
        <v>2048-49</v>
      </c>
      <c r="K31" s="108" cm="1">
        <f t="array" ref="K31">INDEX('Table 4a&amp;5a'!$E$4:$AS$39,MATCH($B$3,'Table 4a&amp;5a'!$A$4:$A$39,0)+(MATCH($B$4,{"Underlying cash balance","Gross debt"},0)-1)*3+0,24)</f>
        <v>-0.6</v>
      </c>
      <c r="L31" s="108" cm="1">
        <f t="array" ref="L31">INDEX('Table 4a&amp;5a'!$E$4:$AS$39,MATCH($B$3,'Table 4a&amp;5a'!$A$4:$A$39,0)+(MATCH($B$4,{"Underlying cash balance","Gross debt"},0)-1)*3+1,24)</f>
        <v>-0.5</v>
      </c>
      <c r="M31" s="108" cm="1">
        <f t="array" ref="M31">INDEX('Table 4a&amp;5a'!$E$4:$AS$39,MATCH($B$3,'Table 4a&amp;5a'!$A$4:$A$39,0)+(MATCH($B$4,{"Underlying cash balance","Gross debt"},0)-1)*3+2,24)</f>
        <v>-0.5</v>
      </c>
    </row>
    <row r="32" spans="10:13" ht="16" customHeight="1">
      <c r="J32" s="106" t="str">
        <f>INDEX('Table 4a&amp;5a'!$E$3:$AS$3,1,25)</f>
        <v>2049-50</v>
      </c>
      <c r="K32" s="107" cm="1">
        <f t="array" ref="K32">INDEX('Table 4a&amp;5a'!$E$4:$AS$39,MATCH($B$3,'Table 4a&amp;5a'!$A$4:$A$39,0)+(MATCH($B$4,{"Underlying cash balance","Gross debt"},0)-1)*3+0,25)</f>
        <v>-0.7</v>
      </c>
      <c r="L32" s="107" cm="1">
        <f t="array" ref="L32">INDEX('Table 4a&amp;5a'!$E$4:$AS$39,MATCH($B$3,'Table 4a&amp;5a'!$A$4:$A$39,0)+(MATCH($B$4,{"Underlying cash balance","Gross debt"},0)-1)*3+1,25)</f>
        <v>-0.7</v>
      </c>
      <c r="M32" s="107" cm="1">
        <f t="array" ref="M32">INDEX('Table 4a&amp;5a'!$E$4:$AS$39,MATCH($B$3,'Table 4a&amp;5a'!$A$4:$A$39,0)+(MATCH($B$4,{"Underlying cash balance","Gross debt"},0)-1)*3+2,25)</f>
        <v>-0.6</v>
      </c>
    </row>
    <row r="33" spans="1:13" ht="16" customHeight="1">
      <c r="A33" s="15" t="s">
        <v>60</v>
      </c>
      <c r="J33" s="106" t="str">
        <f>INDEX('Table 4a&amp;5a'!$E$3:$AS$3,1,26)</f>
        <v>2050-51</v>
      </c>
      <c r="K33" s="108" cm="1">
        <f t="array" ref="K33">INDEX('Table 4a&amp;5a'!$E$4:$AS$39,MATCH($B$3,'Table 4a&amp;5a'!$A$4:$A$39,0)+(MATCH($B$4,{"Underlying cash balance","Gross debt"},0)-1)*3+0,26)</f>
        <v>-0.8</v>
      </c>
      <c r="L33" s="108" cm="1">
        <f t="array" ref="L33">INDEX('Table 4a&amp;5a'!$E$4:$AS$39,MATCH($B$3,'Table 4a&amp;5a'!$A$4:$A$39,0)+(MATCH($B$4,{"Underlying cash balance","Gross debt"},0)-1)*3+1,26)</f>
        <v>-0.7</v>
      </c>
      <c r="M33" s="108" cm="1">
        <f t="array" ref="M33">INDEX('Table 4a&amp;5a'!$E$4:$AS$39,MATCH($B$3,'Table 4a&amp;5a'!$A$4:$A$39,0)+(MATCH($B$4,{"Underlying cash balance","Gross debt"},0)-1)*3+2,26)</f>
        <v>-0.6</v>
      </c>
    </row>
    <row r="34" spans="1:13" ht="16" customHeight="1">
      <c r="A34" s="15"/>
      <c r="J34" s="106" t="str">
        <f>INDEX('Table 4a&amp;5a'!$E$3:$AS$3,1,27)</f>
        <v>2051-52</v>
      </c>
      <c r="K34" s="107" cm="1">
        <f t="array" ref="K34">INDEX('Table 4a&amp;5a'!$E$4:$AS$39,MATCH($B$3,'Table 4a&amp;5a'!$A$4:$A$39,0)+(MATCH($B$4,{"Underlying cash balance","Gross debt"},0)-1)*3+0,27)</f>
        <v>-0.7</v>
      </c>
      <c r="L34" s="107" cm="1">
        <f t="array" ref="L34">INDEX('Table 4a&amp;5a'!$E$4:$AS$39,MATCH($B$3,'Table 4a&amp;5a'!$A$4:$A$39,0)+(MATCH($B$4,{"Underlying cash balance","Gross debt"},0)-1)*3+1,27)</f>
        <v>-0.6</v>
      </c>
      <c r="M34" s="107" cm="1">
        <f t="array" ref="M34">INDEX('Table 4a&amp;5a'!$E$4:$AS$39,MATCH($B$3,'Table 4a&amp;5a'!$A$4:$A$39,0)+(MATCH($B$4,{"Underlying cash balance","Gross debt"},0)-1)*3+2,27)</f>
        <v>-0.6</v>
      </c>
    </row>
    <row r="35" spans="1:13" ht="16" customHeight="1">
      <c r="A35" s="15" t="s">
        <v>61</v>
      </c>
      <c r="J35" s="106" t="str">
        <f>INDEX('Table 4a&amp;5a'!$E$3:$AS$3,1,28)</f>
        <v>2052-53</v>
      </c>
      <c r="K35" s="108" cm="1">
        <f t="array" ref="K35">INDEX('Table 4a&amp;5a'!$E$4:$AS$39,MATCH($B$3,'Table 4a&amp;5a'!$A$4:$A$39,0)+(MATCH($B$4,{"Underlying cash balance","Gross debt"},0)-1)*3+0,28)</f>
        <v>-0.8</v>
      </c>
      <c r="L35" s="108" cm="1">
        <f t="array" ref="L35">INDEX('Table 4a&amp;5a'!$E$4:$AS$39,MATCH($B$3,'Table 4a&amp;5a'!$A$4:$A$39,0)+(MATCH($B$4,{"Underlying cash balance","Gross debt"},0)-1)*3+1,28)</f>
        <v>-0.7</v>
      </c>
      <c r="M35" s="108" cm="1">
        <f t="array" ref="M35">INDEX('Table 4a&amp;5a'!$E$4:$AS$39,MATCH($B$3,'Table 4a&amp;5a'!$A$4:$A$39,0)+(MATCH($B$4,{"Underlying cash balance","Gross debt"},0)-1)*3+2,28)</f>
        <v>-0.6</v>
      </c>
    </row>
    <row r="36" spans="1:13" ht="16" customHeight="1">
      <c r="A36" s="185" t="s">
        <v>137</v>
      </c>
      <c r="B36" s="185"/>
      <c r="C36" s="185"/>
      <c r="D36" s="185"/>
      <c r="E36" s="185"/>
      <c r="F36" s="185"/>
      <c r="G36" s="185"/>
      <c r="H36" s="185"/>
      <c r="J36" s="106" t="str">
        <f>INDEX('Table 4a&amp;5a'!$E$3:$AS$3,1,29)</f>
        <v>2053-54</v>
      </c>
      <c r="K36" s="107" cm="1">
        <f t="array" ref="K36">INDEX('Table 4a&amp;5a'!$E$4:$AS$39,MATCH($B$3,'Table 4a&amp;5a'!$A$4:$A$39,0)+(MATCH($B$4,{"Underlying cash balance","Gross debt"},0)-1)*3+0,29)</f>
        <v>-0.9</v>
      </c>
      <c r="L36" s="107" cm="1">
        <f t="array" ref="L36">INDEX('Table 4a&amp;5a'!$E$4:$AS$39,MATCH($B$3,'Table 4a&amp;5a'!$A$4:$A$39,0)+(MATCH($B$4,{"Underlying cash balance","Gross debt"},0)-1)*3+1,29)</f>
        <v>-0.7</v>
      </c>
      <c r="M36" s="107" cm="1">
        <f t="array" ref="M36">INDEX('Table 4a&amp;5a'!$E$4:$AS$39,MATCH($B$3,'Table 4a&amp;5a'!$A$4:$A$39,0)+(MATCH($B$4,{"Underlying cash balance","Gross debt"},0)-1)*3+2,29)</f>
        <v>-0.6</v>
      </c>
    </row>
    <row r="37" spans="1:13" ht="16" customHeight="1">
      <c r="A37" s="185"/>
      <c r="B37" s="185"/>
      <c r="C37" s="185"/>
      <c r="D37" s="185"/>
      <c r="E37" s="185"/>
      <c r="F37" s="185"/>
      <c r="G37" s="185"/>
      <c r="H37" s="185"/>
      <c r="J37" s="106" t="str">
        <f>INDEX('Table 4a&amp;5a'!$E$3:$AS$3,1,30)</f>
        <v>2054-55</v>
      </c>
      <c r="K37" s="108" cm="1">
        <f t="array" ref="K37">INDEX('Table 4a&amp;5a'!$E$4:$AS$39,MATCH($B$3,'Table 4a&amp;5a'!$A$4:$A$39,0)+(MATCH($B$4,{"Underlying cash balance","Gross debt"},0)-1)*3+0,30)</f>
        <v>-1</v>
      </c>
      <c r="L37" s="108" cm="1">
        <f t="array" ref="L37">INDEX('Table 4a&amp;5a'!$E$4:$AS$39,MATCH($B$3,'Table 4a&amp;5a'!$A$4:$A$39,0)+(MATCH($B$4,{"Underlying cash balance","Gross debt"},0)-1)*3+1,30)</f>
        <v>-0.8</v>
      </c>
      <c r="M37" s="108" cm="1">
        <f t="array" ref="M37">INDEX('Table 4a&amp;5a'!$E$4:$AS$39,MATCH($B$3,'Table 4a&amp;5a'!$A$4:$A$39,0)+(MATCH($B$4,{"Underlying cash balance","Gross debt"},0)-1)*3+2,30)</f>
        <v>-0.6</v>
      </c>
    </row>
    <row r="38" spans="1:13" ht="16" customHeight="1">
      <c r="A38" s="185"/>
      <c r="B38" s="185"/>
      <c r="C38" s="185"/>
      <c r="D38" s="185"/>
      <c r="E38" s="185"/>
      <c r="F38" s="185"/>
      <c r="G38" s="185"/>
      <c r="H38" s="185"/>
      <c r="J38" s="106" t="str">
        <f>INDEX('Table 4a&amp;5a'!$E$3:$AS$3,1,31)</f>
        <v>2055-56</v>
      </c>
      <c r="K38" s="107" cm="1">
        <f t="array" ref="K38">INDEX('Table 4a&amp;5a'!$E$4:$AS$39,MATCH($B$3,'Table 4a&amp;5a'!$A$4:$A$39,0)+(MATCH($B$4,{"Underlying cash balance","Gross debt"},0)-1)*3+0,31)</f>
        <v>-1</v>
      </c>
      <c r="L38" s="107" cm="1">
        <f t="array" ref="L38">INDEX('Table 4a&amp;5a'!$E$4:$AS$39,MATCH($B$3,'Table 4a&amp;5a'!$A$4:$A$39,0)+(MATCH($B$4,{"Underlying cash balance","Gross debt"},0)-1)*3+1,31)</f>
        <v>-0.8</v>
      </c>
      <c r="M38" s="107" cm="1">
        <f t="array" ref="M38">INDEX('Table 4a&amp;5a'!$E$4:$AS$39,MATCH($B$3,'Table 4a&amp;5a'!$A$4:$A$39,0)+(MATCH($B$4,{"Underlying cash balance","Gross debt"},0)-1)*3+2,31)</f>
        <v>-0.6</v>
      </c>
    </row>
    <row r="39" spans="1:13" ht="16" customHeight="1">
      <c r="A39" s="185" t="s">
        <v>67</v>
      </c>
      <c r="B39" s="185"/>
      <c r="C39" s="185"/>
      <c r="D39" s="185"/>
      <c r="E39" s="185"/>
      <c r="F39" s="185"/>
      <c r="G39" s="185"/>
      <c r="H39" s="185"/>
      <c r="J39" s="106" t="str">
        <f>INDEX('Table 4a&amp;5a'!$E$3:$AS$3,1,32)</f>
        <v>2056-57</v>
      </c>
      <c r="K39" s="108" cm="1">
        <f t="array" ref="K39">INDEX('Table 4a&amp;5a'!$E$4:$AS$39,MATCH($B$3,'Table 4a&amp;5a'!$A$4:$A$39,0)+(MATCH($B$4,{"Underlying cash balance","Gross debt"},0)-1)*3+0,32)</f>
        <v>-1.1000000000000001</v>
      </c>
      <c r="L39" s="108" cm="1">
        <f t="array" ref="L39">INDEX('Table 4a&amp;5a'!$E$4:$AS$39,MATCH($B$3,'Table 4a&amp;5a'!$A$4:$A$39,0)+(MATCH($B$4,{"Underlying cash balance","Gross debt"},0)-1)*3+1,32)</f>
        <v>-0.9</v>
      </c>
      <c r="M39" s="108" cm="1">
        <f t="array" ref="M39">INDEX('Table 4a&amp;5a'!$E$4:$AS$39,MATCH($B$3,'Table 4a&amp;5a'!$A$4:$A$39,0)+(MATCH($B$4,{"Underlying cash balance","Gross debt"},0)-1)*3+2,32)</f>
        <v>-0.7</v>
      </c>
    </row>
    <row r="40" spans="1:13" ht="16" customHeight="1">
      <c r="A40" s="185"/>
      <c r="B40" s="185"/>
      <c r="C40" s="185"/>
      <c r="D40" s="185"/>
      <c r="E40" s="185"/>
      <c r="F40" s="185"/>
      <c r="G40" s="185"/>
      <c r="H40" s="185"/>
      <c r="J40" s="106" t="str">
        <f>INDEX('Table 4a&amp;5a'!$E$3:$AS$3,1,33)</f>
        <v>2057-58</v>
      </c>
      <c r="K40" s="107" cm="1">
        <f t="array" ref="K40">INDEX('Table 4a&amp;5a'!$E$4:$AS$39,MATCH($B$3,'Table 4a&amp;5a'!$A$4:$A$39,0)+(MATCH($B$4,{"Underlying cash balance","Gross debt"},0)-1)*3+0,33)</f>
        <v>-1.2</v>
      </c>
      <c r="L40" s="107" cm="1">
        <f t="array" ref="L40">INDEX('Table 4a&amp;5a'!$E$4:$AS$39,MATCH($B$3,'Table 4a&amp;5a'!$A$4:$A$39,0)+(MATCH($B$4,{"Underlying cash balance","Gross debt"},0)-1)*3+1,33)</f>
        <v>-0.9</v>
      </c>
      <c r="M40" s="107" cm="1">
        <f t="array" ref="M40">INDEX('Table 4a&amp;5a'!$E$4:$AS$39,MATCH($B$3,'Table 4a&amp;5a'!$A$4:$A$39,0)+(MATCH($B$4,{"Underlying cash balance","Gross debt"},0)-1)*3+2,33)</f>
        <v>-0.7</v>
      </c>
    </row>
    <row r="41" spans="1:13" ht="16" customHeight="1">
      <c r="A41" s="185" t="s">
        <v>62</v>
      </c>
      <c r="B41" s="185"/>
      <c r="C41" s="185"/>
      <c r="D41" s="185"/>
      <c r="E41" s="185"/>
      <c r="F41" s="185"/>
      <c r="G41" s="185"/>
      <c r="H41" s="185"/>
      <c r="J41" s="106" t="str">
        <f>INDEX('Table 4a&amp;5a'!$E$3:$AS$3,1,34)</f>
        <v>2058-59</v>
      </c>
      <c r="K41" s="108" cm="1">
        <f t="array" ref="K41">INDEX('Table 4a&amp;5a'!$E$4:$AS$39,MATCH($B$3,'Table 4a&amp;5a'!$A$4:$A$39,0)+(MATCH($B$4,{"Underlying cash balance","Gross debt"},0)-1)*3+0,34)</f>
        <v>-1.3</v>
      </c>
      <c r="L41" s="108" cm="1">
        <f t="array" ref="L41">INDEX('Table 4a&amp;5a'!$E$4:$AS$39,MATCH($B$3,'Table 4a&amp;5a'!$A$4:$A$39,0)+(MATCH($B$4,{"Underlying cash balance","Gross debt"},0)-1)*3+1,34)</f>
        <v>-1</v>
      </c>
      <c r="M41" s="108" cm="1">
        <f t="array" ref="M41">INDEX('Table 4a&amp;5a'!$E$4:$AS$39,MATCH($B$3,'Table 4a&amp;5a'!$A$4:$A$39,0)+(MATCH($B$4,{"Underlying cash balance","Gross debt"},0)-1)*3+2,34)</f>
        <v>-0.7</v>
      </c>
    </row>
    <row r="42" spans="1:13" ht="16" customHeight="1">
      <c r="J42" s="106" t="str">
        <f>INDEX('Table 4a&amp;5a'!$E$3:$AS$3,1,35)</f>
        <v>2059-60</v>
      </c>
      <c r="K42" s="107" cm="1">
        <f t="array" ref="K42">INDEX('Table 4a&amp;5a'!$E$4:$AS$39,MATCH($B$3,'Table 4a&amp;5a'!$A$4:$A$39,0)+(MATCH($B$4,{"Underlying cash balance","Gross debt"},0)-1)*3+0,35)</f>
        <v>-1.4</v>
      </c>
      <c r="L42" s="107" cm="1">
        <f t="array" ref="L42">INDEX('Table 4a&amp;5a'!$E$4:$AS$39,MATCH($B$3,'Table 4a&amp;5a'!$A$4:$A$39,0)+(MATCH($B$4,{"Underlying cash balance","Gross debt"},0)-1)*3+1,35)</f>
        <v>-1.1000000000000001</v>
      </c>
      <c r="M42" s="107" cm="1">
        <f t="array" ref="M42">INDEX('Table 4a&amp;5a'!$E$4:$AS$39,MATCH($B$3,'Table 4a&amp;5a'!$A$4:$A$39,0)+(MATCH($B$4,{"Underlying cash balance","Gross debt"},0)-1)*3+2,35)</f>
        <v>-0.8</v>
      </c>
    </row>
    <row r="43" spans="1:13" ht="16" customHeight="1">
      <c r="J43" s="106" t="str">
        <f>INDEX('Table 4a&amp;5a'!$E$3:$AS$3,1,36)</f>
        <v>2060-61</v>
      </c>
      <c r="K43" s="108" cm="1">
        <f t="array" ref="K43">INDEX('Table 4a&amp;5a'!$E$4:$AS$39,MATCH($B$3,'Table 4a&amp;5a'!$A$4:$A$39,0)+(MATCH($B$4,{"Underlying cash balance","Gross debt"},0)-1)*3+0,36)</f>
        <v>-1.6</v>
      </c>
      <c r="L43" s="108" cm="1">
        <f t="array" ref="L43">INDEX('Table 4a&amp;5a'!$E$4:$AS$39,MATCH($B$3,'Table 4a&amp;5a'!$A$4:$A$39,0)+(MATCH($B$4,{"Underlying cash balance","Gross debt"},0)-1)*3+1,36)</f>
        <v>-1.2</v>
      </c>
      <c r="M43" s="108" cm="1">
        <f t="array" ref="M43">INDEX('Table 4a&amp;5a'!$E$4:$AS$39,MATCH($B$3,'Table 4a&amp;5a'!$A$4:$A$39,0)+(MATCH($B$4,{"Underlying cash balance","Gross debt"},0)-1)*3+2,36)</f>
        <v>-0.9</v>
      </c>
    </row>
    <row r="44" spans="1:13" ht="16" customHeight="1">
      <c r="J44" s="106" t="str">
        <f>INDEX('Table 4a&amp;5a'!$E$3:$AS$3,1,37)</f>
        <v>2061-62</v>
      </c>
      <c r="K44" s="107" cm="1">
        <f t="array" ref="K44">INDEX('Table 4a&amp;5a'!$E$4:$AS$39,MATCH($B$3,'Table 4a&amp;5a'!$A$4:$A$39,0)+(MATCH($B$4,{"Underlying cash balance","Gross debt"},0)-1)*3+0,37)</f>
        <v>-1.7</v>
      </c>
      <c r="L44" s="107" cm="1">
        <f t="array" ref="L44">INDEX('Table 4a&amp;5a'!$E$4:$AS$39,MATCH($B$3,'Table 4a&amp;5a'!$A$4:$A$39,0)+(MATCH($B$4,{"Underlying cash balance","Gross debt"},0)-1)*3+1,37)</f>
        <v>-1.3</v>
      </c>
      <c r="M44" s="107" cm="1">
        <f t="array" ref="M44">INDEX('Table 4a&amp;5a'!$E$4:$AS$39,MATCH($B$3,'Table 4a&amp;5a'!$A$4:$A$39,0)+(MATCH($B$4,{"Underlying cash balance","Gross debt"},0)-1)*3+2,37)</f>
        <v>-0.9</v>
      </c>
    </row>
    <row r="45" spans="1:13" ht="16" customHeight="1">
      <c r="J45" s="106" t="str">
        <f>INDEX('Table 4a&amp;5a'!$E$3:$AS$3,1,38)</f>
        <v>2062-63</v>
      </c>
      <c r="K45" s="108" cm="1">
        <f t="array" ref="K45">INDEX('Table 4a&amp;5a'!$E$4:$AS$39,MATCH($B$3,'Table 4a&amp;5a'!$A$4:$A$39,0)+(MATCH($B$4,{"Underlying cash balance","Gross debt"},0)-1)*3+0,38)</f>
        <v>-1.8</v>
      </c>
      <c r="L45" s="108" cm="1">
        <f t="array" ref="L45">INDEX('Table 4a&amp;5a'!$E$4:$AS$39,MATCH($B$3,'Table 4a&amp;5a'!$A$4:$A$39,0)+(MATCH($B$4,{"Underlying cash balance","Gross debt"},0)-1)*3+1,38)</f>
        <v>-1.4</v>
      </c>
      <c r="M45" s="108" cm="1">
        <f t="array" ref="M45">INDEX('Table 4a&amp;5a'!$E$4:$AS$39,MATCH($B$3,'Table 4a&amp;5a'!$A$4:$A$39,0)+(MATCH($B$4,{"Underlying cash balance","Gross debt"},0)-1)*3+2,38)</f>
        <v>-1</v>
      </c>
    </row>
    <row r="46" spans="1:13" ht="16" customHeight="1">
      <c r="A46" s="185"/>
      <c r="B46" s="185"/>
      <c r="C46" s="185"/>
      <c r="D46" s="185"/>
      <c r="E46" s="185"/>
      <c r="F46" s="185"/>
      <c r="G46" s="185"/>
      <c r="H46" s="185"/>
      <c r="J46" s="106" t="str">
        <f>INDEX('Table 4a&amp;5a'!$E$3:$AS$3,1,39)</f>
        <v>2063-64</v>
      </c>
      <c r="K46" s="107" cm="1">
        <f t="array" ref="K46">INDEX('Table 4a&amp;5a'!$E$4:$AS$39,MATCH($B$3,'Table 4a&amp;5a'!$A$4:$A$39,0)+(MATCH($B$4,{"Underlying cash balance","Gross debt"},0)-1)*3+0,39)</f>
        <v>-2</v>
      </c>
      <c r="L46" s="107" cm="1">
        <f t="array" ref="L46">INDEX('Table 4a&amp;5a'!$E$4:$AS$39,MATCH($B$3,'Table 4a&amp;5a'!$A$4:$A$39,0)+(MATCH($B$4,{"Underlying cash balance","Gross debt"},0)-1)*3+1,39)</f>
        <v>-1.5</v>
      </c>
      <c r="M46" s="107" cm="1">
        <f t="array" ref="M46">INDEX('Table 4a&amp;5a'!$E$4:$AS$39,MATCH($B$3,'Table 4a&amp;5a'!$A$4:$A$39,0)+(MATCH($B$4,{"Underlying cash balance","Gross debt"},0)-1)*3+2,39)</f>
        <v>-1.1000000000000001</v>
      </c>
    </row>
    <row r="47" spans="1:13" ht="16" customHeight="1">
      <c r="J47" s="106" t="str">
        <f>INDEX('Table 4a&amp;5a'!$E$3:$AS$3,1,40)</f>
        <v>2064-65</v>
      </c>
      <c r="K47" s="108" cm="1">
        <f t="array" ref="K47">INDEX('Table 4a&amp;5a'!$E$4:$AS$39,MATCH($B$3,'Table 4a&amp;5a'!$A$4:$A$39,0)+(MATCH($B$4,{"Underlying cash balance","Gross debt"},0)-1)*3+0,40)</f>
        <v>-2.2000000000000002</v>
      </c>
      <c r="L47" s="108" cm="1">
        <f t="array" ref="L47">INDEX('Table 4a&amp;5a'!$E$4:$AS$39,MATCH($B$3,'Table 4a&amp;5a'!$A$4:$A$39,0)+(MATCH($B$4,{"Underlying cash balance","Gross debt"},0)-1)*3+1,40)</f>
        <v>-1.6</v>
      </c>
      <c r="M47" s="108" cm="1">
        <f t="array" ref="M47">INDEX('Table 4a&amp;5a'!$E$4:$AS$39,MATCH($B$3,'Table 4a&amp;5a'!$A$4:$A$39,0)+(MATCH($B$4,{"Underlying cash balance","Gross debt"},0)-1)*3+2,40)</f>
        <v>-1.1000000000000001</v>
      </c>
    </row>
    <row r="48" spans="1:13" ht="16" customHeight="1">
      <c r="J48" s="106" t="str">
        <f>INDEX('Table 4a&amp;5a'!$E$3:$AS$3,1,41)</f>
        <v>2065-66</v>
      </c>
      <c r="K48" s="107" cm="1">
        <f t="array" ref="K48">INDEX('Table 4a&amp;5a'!$E$4:$AS$39,MATCH($B$3,'Table 4a&amp;5a'!$A$4:$A$39,0)+(MATCH($B$4,{"Underlying cash balance","Gross debt"},0)-1)*3+0,41)</f>
        <v>-2.4</v>
      </c>
      <c r="L48" s="107" cm="1">
        <f t="array" ref="L48">INDEX('Table 4a&amp;5a'!$E$4:$AS$39,MATCH($B$3,'Table 4a&amp;5a'!$A$4:$A$39,0)+(MATCH($B$4,{"Underlying cash balance","Gross debt"},0)-1)*3+1,41)</f>
        <v>-1.8</v>
      </c>
      <c r="M48" s="107" cm="1">
        <f t="array" ref="M48">INDEX('Table 4a&amp;5a'!$E$4:$AS$39,MATCH($B$3,'Table 4a&amp;5a'!$A$4:$A$39,0)+(MATCH($B$4,{"Underlying cash balance","Gross debt"},0)-1)*3+2,41)</f>
        <v>-1.3</v>
      </c>
    </row>
  </sheetData>
  <sheetProtection algorithmName="SHA-512" hashValue="dFHLUDAYmhv7afrNVOgIBvxVSXhHQ/rbntdiBwQy9wsnp0s2jZ0ui8S2NZylkAZkeZ+RIOuZ0x4Ubt93Cn1MLQ==" saltValue="Zj+087RK8VAt4VZ9FyTMCQ==" spinCount="100000" sheet="1" objects="1" scenarios="1"/>
  <mergeCells count="11">
    <mergeCell ref="A46:H46"/>
    <mergeCell ref="A41:H41"/>
    <mergeCell ref="A36:H38"/>
    <mergeCell ref="A39:H40"/>
    <mergeCell ref="A1:M1"/>
    <mergeCell ref="A2:H2"/>
    <mergeCell ref="J4:J7"/>
    <mergeCell ref="K4:K7"/>
    <mergeCell ref="L4:L7"/>
    <mergeCell ref="M4:M7"/>
    <mergeCell ref="A5:H7"/>
  </mergeCells>
  <dataValidations count="2">
    <dataValidation type="list" allowBlank="1" showInputMessage="1" showErrorMessage="1" promptTitle="Assumption" prompt="Choose an item from the source table." sqref="B3" xr:uid="{7414BF32-FF4E-4683-8F20-A110C35FCFF3}">
      <formula1>$P$10:$P$15</formula1>
    </dataValidation>
    <dataValidation type="list" allowBlank="1" showInputMessage="1" showErrorMessage="1" promptTitle="Measure" prompt="Choose an aggregate from the source table." sqref="B4" xr:uid="{3316F9A3-599E-4590-AF34-9DA561BC6E2F}">
      <formula1>$Q$10:$Q$11</formula1>
    </dataValidation>
  </dataValidations>
  <pageMargins left="0.7" right="0.7" top="0.75" bottom="0.75" header="0.3" footer="0.3"/>
  <pageSetup paperSize="9" scale="49"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B7A200844015D4C90680374BFB3002C" ma:contentTypeVersion="28" ma:contentTypeDescription="Create a new document." ma:contentTypeScope="" ma:versionID="996800d0a26062f7665941cbf4773b84">
  <xsd:schema xmlns:xsd="http://www.w3.org/2001/XMLSchema" xmlns:xs="http://www.w3.org/2001/XMLSchema" xmlns:p="http://schemas.microsoft.com/office/2006/metadata/properties" xmlns:ns1="http://schemas.microsoft.com/sharepoint/v3" xmlns:ns2="ad8e907a-e1a6-4b76-8caa-2c3a6e0bcaac" xmlns:ns3="721601ae-2bde-4ea3-9ce6-a9736c892d1a" targetNamespace="http://schemas.microsoft.com/office/2006/metadata/properties" ma:root="true" ma:fieldsID="5b959b8b71db170d6089415f916729d6" ns1:_="" ns2:_="" ns3:_="">
    <xsd:import namespace="http://schemas.microsoft.com/sharepoint/v3"/>
    <xsd:import namespace="ad8e907a-e1a6-4b76-8caa-2c3a6e0bcaac"/>
    <xsd:import namespace="721601ae-2bde-4ea3-9ce6-a9736c892d1a"/>
    <xsd:element name="properties">
      <xsd:complexType>
        <xsd:sequence>
          <xsd:element name="documentManagement">
            <xsd:complexType>
              <xsd:all>
                <xsd:element ref="ns2:_dlc_DocId" minOccurs="0"/>
                <xsd:element ref="ns2:_dlc_DocIdUrl" minOccurs="0"/>
                <xsd:element ref="ns2:_dlc_DocIdPersistId" minOccurs="0"/>
                <xsd:element ref="ns1:DocumentSetDescription" minOccurs="0"/>
                <xsd:element ref="ns2:SRR_x0020_ID" minOccurs="0"/>
                <xsd:element ref="ns2:Project_x0020_type" minOccurs="0"/>
                <xsd:element ref="ns2:Link_x0020_to_x0020_approved_x0020_project_x0020_plan" minOccurs="0"/>
                <xsd:element ref="ns2:f81702133f5c4bc9b6bd0f4833f72334" minOccurs="0"/>
                <xsd:element ref="ns2:TaxCatchAll" minOccurs="0"/>
                <xsd:element ref="ns3:MediaServiceMetadata" minOccurs="0"/>
                <xsd:element ref="ns3:MediaServiceFastMetadata" minOccurs="0"/>
                <xsd:element ref="ns3:MediaServiceAutoKeyPoints" minOccurs="0"/>
                <xsd:element ref="ns3:MediaServiceKeyPoints" minOccurs="0"/>
                <xsd:element ref="ns3:MediaServiceOCR" minOccurs="0"/>
                <xsd:element ref="ns3:MediaServiceGenerationTime" minOccurs="0"/>
                <xsd:element ref="ns3:MediaServiceEventHashCode" minOccurs="0"/>
                <xsd:element ref="ns2:SharedWithUsers" minOccurs="0"/>
                <xsd:element ref="ns2:SharedWithDetails" minOccurs="0"/>
                <xsd:element ref="ns3:lcf76f155ced4ddcb4097134ff3c332f" minOccurs="0"/>
                <xsd:element ref="ns3:MediaServiceSearchProperties" minOccurs="0"/>
                <xsd:element ref="ns1:_ip_UnifiedCompliancePolicyProperties" minOccurs="0"/>
                <xsd:element ref="ns1:_ip_UnifiedCompliancePolicyUIAction" minOccurs="0"/>
                <xsd:element ref="ns3:MediaServiceDateTaken" minOccurs="0"/>
                <xsd:element ref="ns3:MediaServiceObjectDetectorVersion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DocumentSetDescription" ma:index="11" nillable="true" ma:displayName="Description" ma:description="A description of the Document Set" ma:internalName="DocumentSetDescription">
      <xsd:simpleType>
        <xsd:restriction base="dms:Note"/>
      </xsd:simpleType>
    </xsd:element>
    <xsd:element name="_ip_UnifiedCompliancePolicyProperties" ma:index="30" nillable="true" ma:displayName="Unified Compliance Policy Properties" ma:hidden="true" ma:internalName="_ip_UnifiedCompliancePolicyProperties">
      <xsd:simpleType>
        <xsd:restriction base="dms:Note"/>
      </xsd:simpleType>
    </xsd:element>
    <xsd:element name="_ip_UnifiedCompliancePolicyUIAction" ma:index="3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d8e907a-e1a6-4b76-8caa-2c3a6e0bcaa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RR_x0020_ID" ma:index="12" nillable="true" ma:displayName="SRR ID" ma:internalName="SRR_x0020_ID">
      <xsd:simpleType>
        <xsd:restriction base="dms:Text">
          <xsd:maxLength value="255"/>
        </xsd:restriction>
      </xsd:simpleType>
    </xsd:element>
    <xsd:element name="Project_x0020_type" ma:index="13" nillable="true" ma:displayName="Project type" ma:default="Regular publication" ma:format="Dropdown" ma:internalName="Project_x0020_type">
      <xsd:simpleType>
        <xsd:restriction base="dms:Choice">
          <xsd:enumeration value="Regular publication"/>
          <xsd:enumeration value="Occasional publication"/>
          <xsd:enumeration value="Other project"/>
        </xsd:restriction>
      </xsd:simpleType>
    </xsd:element>
    <xsd:element name="Link_x0020_to_x0020_approved_x0020_project_x0020_plan" ma:index="14" nillable="true" ma:displayName="Link to approved project plan" ma:format="Hyperlink" ma:internalName="Link_x0020_to_x0020_approved_x0020_project_x0020_plan">
      <xsd:complexType>
        <xsd:complexContent>
          <xsd:extension base="dms:URL">
            <xsd:sequence>
              <xsd:element name="Url" type="dms:ValidUrl" minOccurs="0" nillable="true"/>
              <xsd:element name="Description" type="xsd:string" nillable="true"/>
            </xsd:sequence>
          </xsd:extension>
        </xsd:complexContent>
      </xsd:complexType>
    </xsd:element>
    <xsd:element name="f81702133f5c4bc9b6bd0f4833f72334" ma:index="16" ma:taxonomy="true" ma:internalName="f81702133f5c4bc9b6bd0f4833f72334" ma:taxonomyFieldName="Doc_Type_SRR" ma:displayName="DocType" ma:default="1;#Other|9fd5f203-0a5c-4134-9c85-3b40d1bdfc4e" ma:fieldId="{f8170213-3f5c-4bc9-b6bd-0f4833f72334}" ma:sspId="8511bdff-a9c3-4342-ad56-d9f2319b2060" ma:termSetId="428a2787-7f6a-48bb-b75d-24a40d6aea28" ma:anchorId="00000000-0000-0000-0000-000000000000" ma:open="false" ma:isKeyword="false">
      <xsd:complexType>
        <xsd:sequence>
          <xsd:element ref="pc:Terms" minOccurs="0" maxOccurs="1"/>
        </xsd:sequence>
      </xsd:complexType>
    </xsd:element>
    <xsd:element name="TaxCatchAll" ma:index="17" nillable="true" ma:displayName="Taxonomy Catch All Column" ma:hidden="true" ma:list="{50d7eaab-e7dc-4d71-9ed3-913f10dce0f2}" ma:internalName="TaxCatchAll" ma:showField="CatchAllData" ma:web="ad8e907a-e1a6-4b76-8caa-2c3a6e0bcaac">
      <xsd:complexType>
        <xsd:complexContent>
          <xsd:extension base="dms:MultiChoiceLookup">
            <xsd:sequence>
              <xsd:element name="Value" type="dms:Lookup" maxOccurs="unbounded" minOccurs="0" nillable="true"/>
            </xsd:sequence>
          </xsd:extension>
        </xsd:complexContent>
      </xsd:complexType>
    </xsd:element>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21601ae-2bde-4ea3-9ce6-a9736c892d1a" elementFormDefault="qualified">
    <xsd:import namespace="http://schemas.microsoft.com/office/2006/documentManagement/types"/>
    <xsd:import namespace="http://schemas.microsoft.com/office/infopath/2007/PartnerControls"/>
    <xsd:element name="MediaServiceMetadata" ma:index="18" nillable="true" ma:displayName="MediaServiceMetadata" ma:hidden="true" ma:internalName="MediaServiceMetadata" ma:readOnly="true">
      <xsd:simpleType>
        <xsd:restriction base="dms:Note"/>
      </xsd:simpleType>
    </xsd:element>
    <xsd:element name="MediaServiceFastMetadata" ma:index="19" nillable="true" ma:displayName="MediaServiceFastMetadata" ma:hidden="true" ma:internalName="MediaServiceFastMetadata" ma:readOnly="true">
      <xsd:simpleType>
        <xsd:restriction base="dms:Note"/>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MediaServiceOCR" ma:index="22" nillable="true" ma:displayName="Extracted Text" ma:internalName="MediaServiceOCR" ma:readOnly="true">
      <xsd:simpleType>
        <xsd:restriction base="dms:Note">
          <xsd:maxLength value="255"/>
        </xsd:restriction>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element name="lcf76f155ced4ddcb4097134ff3c332f" ma:index="28" nillable="true" ma:taxonomy="true" ma:internalName="lcf76f155ced4ddcb4097134ff3c332f" ma:taxonomyFieldName="MediaServiceImageTags" ma:displayName="Image Tags" ma:readOnly="false" ma:fieldId="{5cf76f15-5ced-4ddc-b409-7134ff3c332f}" ma:taxonomyMulti="true" ma:sspId="8511bdff-a9c3-4342-ad56-d9f2319b2060" ma:termSetId="09814cd3-568e-fe90-9814-8d621ff8fb84" ma:anchorId="fba54fb3-c3e1-fe81-a776-ca4b69148c4d" ma:open="true" ma:isKeyword="false">
      <xsd:complexType>
        <xsd:sequence>
          <xsd:element ref="pc:Terms" minOccurs="0" maxOccurs="1"/>
        </xsd:sequence>
      </xsd:complexType>
    </xsd:element>
    <xsd:element name="MediaServiceSearchProperties" ma:index="29" nillable="true" ma:displayName="MediaServiceSearchProperties" ma:hidden="true" ma:internalName="MediaServiceSearchProperties" ma:readOnly="true">
      <xsd:simpleType>
        <xsd:restriction base="dms:Note"/>
      </xsd:simpleType>
    </xsd:element>
    <xsd:element name="MediaServiceDateTaken" ma:index="32" nillable="true" ma:displayName="MediaServiceDateTaken" ma:hidden="true" ma:indexed="true" ma:internalName="MediaServiceDateTaken" ma:readOnly="true">
      <xsd:simpleType>
        <xsd:restriction base="dms:Text"/>
      </xsd:simpleType>
    </xsd:element>
    <xsd:element name="MediaServiceObjectDetectorVersions" ma:index="33" nillable="true" ma:displayName="MediaServiceObjectDetectorVersions" ma:hidden="true" ma:indexed="true" ma:internalName="MediaServiceObjectDetectorVersions" ma:readOnly="true">
      <xsd:simpleType>
        <xsd:restriction base="dms:Text"/>
      </xsd:simpleType>
    </xsd:element>
    <xsd:element name="MediaLengthInSeconds" ma:index="34"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dlc_DocId xmlns="ad8e907a-e1a6-4b76-8caa-2c3a6e0bcaac">SRR-1331152507-5488</_dlc_DocId>
    <_dlc_DocIdUrl xmlns="ad8e907a-e1a6-4b76-8caa-2c3a6e0bcaac">
      <Url>https://pboprotected.sharepoint.com/sites/SRRHub/_layouts/15/DocIdRedir.aspx?ID=SRR-1331152507-5488</Url>
      <Description>SRR-1331152507-5488</Description>
    </_dlc_DocIdUrl>
    <_ip_UnifiedCompliancePolicyUIAction xmlns="http://schemas.microsoft.com/sharepoint/v3" xsi:nil="true"/>
    <SRR_x0020_ID xmlns="ad8e907a-e1a6-4b76-8caa-2c3a6e0bcaac" xsi:nil="true"/>
    <lcf76f155ced4ddcb4097134ff3c332f xmlns="721601ae-2bde-4ea3-9ce6-a9736c892d1a">
      <Terms xmlns="http://schemas.microsoft.com/office/infopath/2007/PartnerControls"/>
    </lcf76f155ced4ddcb4097134ff3c332f>
    <DocumentSetDescription xmlns="http://schemas.microsoft.com/sharepoint/v3">This document set is established to hold documents related to the PBO's inaugural response to recommendation 8 of the 2026 PBO review which is for the PBO to provide the JCPAA with sensitivity and other analysis.</DocumentSetDescription>
    <Project_x0020_type xmlns="ad8e907a-e1a6-4b76-8caa-2c3a6e0bcaac">Regular publication</Project_x0020_type>
    <_ip_UnifiedCompliancePolicyProperties xmlns="http://schemas.microsoft.com/sharepoint/v3" xsi:nil="true"/>
    <f81702133f5c4bc9b6bd0f4833f72334 xmlns="ad8e907a-e1a6-4b76-8caa-2c3a6e0bcaac">
      <Terms xmlns="http://schemas.microsoft.com/office/infopath/2007/PartnerControls">
        <TermInfo xmlns="http://schemas.microsoft.com/office/infopath/2007/PartnerControls">
          <TermName xmlns="http://schemas.microsoft.com/office/infopath/2007/PartnerControls">Other</TermName>
          <TermId xmlns="http://schemas.microsoft.com/office/infopath/2007/PartnerControls">9fd5f203-0a5c-4134-9c85-3b40d1bdfc4e</TermId>
        </TermInfo>
      </Terms>
    </f81702133f5c4bc9b6bd0f4833f72334>
    <TaxCatchAll xmlns="ad8e907a-e1a6-4b76-8caa-2c3a6e0bcaac">
      <Value>1</Value>
    </TaxCatchAll>
    <Link_x0020_to_x0020_approved_x0020_project_x0020_plan xmlns="ad8e907a-e1a6-4b76-8caa-2c3a6e0bcaac">
      <Url xsi:nil="true"/>
      <Description xsi:nil="true"/>
    </Link_x0020_to_x0020_approved_x0020_project_x0020_plan>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35632923-FAF6-48CD-9B73-095260FEA48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d8e907a-e1a6-4b76-8caa-2c3a6e0bcaac"/>
    <ds:schemaRef ds:uri="721601ae-2bde-4ea3-9ce6-a9736c892d1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166651B-757D-4A66-9640-5A9450D068B6}">
  <ds:schemaRefs>
    <ds:schemaRef ds:uri="http://www.w3.org/XML/1998/namespace"/>
    <ds:schemaRef ds:uri="721601ae-2bde-4ea3-9ce6-a9736c892d1a"/>
    <ds:schemaRef ds:uri="http://purl.org/dc/elements/1.1/"/>
    <ds:schemaRef ds:uri="http://schemas.microsoft.com/office/2006/metadata/properties"/>
    <ds:schemaRef ds:uri="http://purl.org/dc/terms/"/>
    <ds:schemaRef ds:uri="http://schemas.microsoft.com/office/2006/documentManagement/types"/>
    <ds:schemaRef ds:uri="ad8e907a-e1a6-4b76-8caa-2c3a6e0bcaac"/>
    <ds:schemaRef ds:uri="http://schemas.microsoft.com/office/infopath/2007/PartnerControls"/>
    <ds:schemaRef ds:uri="http://schemas.openxmlformats.org/package/2006/metadata/core-properties"/>
    <ds:schemaRef ds:uri="http://schemas.microsoft.com/sharepoint/v3"/>
    <ds:schemaRef ds:uri="http://purl.org/dc/dcmitype/"/>
  </ds:schemaRefs>
</ds:datastoreItem>
</file>

<file path=customXml/itemProps3.xml><?xml version="1.0" encoding="utf-8"?>
<ds:datastoreItem xmlns:ds="http://schemas.openxmlformats.org/officeDocument/2006/customXml" ds:itemID="{BEB598C7-92B1-4C71-9E86-040BB21B5397}">
  <ds:schemaRefs>
    <ds:schemaRef ds:uri="http://schemas.microsoft.com/sharepoint/v3/contenttype/forms"/>
  </ds:schemaRefs>
</ds:datastoreItem>
</file>

<file path=customXml/itemProps4.xml><?xml version="1.0" encoding="utf-8"?>
<ds:datastoreItem xmlns:ds="http://schemas.openxmlformats.org/officeDocument/2006/customXml" ds:itemID="{CA74B6F5-CE46-4C6F-8900-BC593D28374A}">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Table of contents</vt:lpstr>
      <vt:lpstr>Chart 1</vt:lpstr>
      <vt:lpstr>Table 1</vt:lpstr>
      <vt:lpstr>Chart 2</vt:lpstr>
      <vt:lpstr>Chart 3</vt:lpstr>
      <vt:lpstr>Chart 4</vt:lpstr>
      <vt:lpstr>Table 2&amp;3</vt:lpstr>
      <vt:lpstr>Chart 5</vt:lpstr>
      <vt:lpstr>Table 4&amp;5</vt:lpstr>
      <vt:lpstr>Table 4a&amp;5a</vt:lpstr>
      <vt:lpstr>Interactive charts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Parliamentary Budget Office (PBO)</dc:creator>
  <cp:keywords/>
  <dc:description/>
  <cp:revision/>
  <dcterms:created xsi:type="dcterms:W3CDTF">2026-06-23T02:42:15Z</dcterms:created>
  <dcterms:modified xsi:type="dcterms:W3CDTF">2026-10-08T05:16:57Z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0x0101001B7A200844015D4C90680374BFB3002C</vt:lpwstr>
  </property>
  <property fmtid="{D5CDD505-2E9C-101B-9397-08002B2CF9AE}" pid="3" name="_dlc_DocIdItemGuid">
    <vt:lpwstr>a5754b6d-2483-42dc-b4d2-f97426e7ae85</vt:lpwstr>
  </property>
  <property fmtid="{D5CDD505-2E9C-101B-9397-08002B2CF9AE}" pid="4" name="MSIP_Label_ffb634e3-1037-4cdd-a8be-eaa9d6fbd503_Enabled">
    <vt:lpwstr>true</vt:lpwstr>
  </property>
  <property fmtid="{D5CDD505-2E9C-101B-9397-08002B2CF9AE}" pid="5" name="MSIP_Label_ffb634e3-1037-4cdd-a8be-eaa9d6fbd503_SetDate">
    <vt:lpwstr>2026-06-23T02:42:30Z</vt:lpwstr>
  </property>
  <property fmtid="{D5CDD505-2E9C-101B-9397-08002B2CF9AE}" pid="6" name="MSIP_Label_ffb634e3-1037-4cdd-a8be-eaa9d6fbd503_Method">
    <vt:lpwstr>Privileged</vt:lpwstr>
  </property>
  <property fmtid="{D5CDD505-2E9C-101B-9397-08002B2CF9AE}" pid="7" name="MSIP_Label_ffb634e3-1037-4cdd-a8be-eaa9d6fbd503_Name">
    <vt:lpwstr>OFFICIAL (PBO for publication)</vt:lpwstr>
  </property>
  <property fmtid="{D5CDD505-2E9C-101B-9397-08002B2CF9AE}" pid="8" name="MSIP_Label_ffb634e3-1037-4cdd-a8be-eaa9d6fbd503_SiteId">
    <vt:lpwstr>dc2a6fc4-3a5c-4009-8148-25a15ab44bf4</vt:lpwstr>
  </property>
  <property fmtid="{D5CDD505-2E9C-101B-9397-08002B2CF9AE}" pid="9" name="MSIP_Label_ffb634e3-1037-4cdd-a8be-eaa9d6fbd503_ActionId">
    <vt:lpwstr>b4560bad-465c-4eb7-bc5e-1e62e6312cdd</vt:lpwstr>
  </property>
  <property fmtid="{D5CDD505-2E9C-101B-9397-08002B2CF9AE}" pid="10" name="MSIP_Label_ffb634e3-1037-4cdd-a8be-eaa9d6fbd503_ContentBits">
    <vt:lpwstr>0</vt:lpwstr>
  </property>
  <property fmtid="{D5CDD505-2E9C-101B-9397-08002B2CF9AE}" pid="11" name="MSIP_Label_ffb634e3-1037-4cdd-a8be-eaa9d6fbd503_Tag">
    <vt:lpwstr>10, 0, 1, 1</vt:lpwstr>
  </property>
  <property fmtid="{D5CDD505-2E9C-101B-9397-08002B2CF9AE}" pid="12" name="Doc_Type_SRR">
    <vt:lpwstr>1;#Other|9fd5f203-0a5c-4134-9c85-3b40d1bdfc4e</vt:lpwstr>
  </property>
  <property fmtid="{D5CDD505-2E9C-101B-9397-08002B2CF9AE}" pid="13" name="MediaServiceImageTags">
    <vt:lpwstr/>
  </property>
</Properties>
</file>