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defaultThemeVersion="166925"/>
  <xr:revisionPtr revIDLastSave="0" documentId="8_{E8AE2E2B-1B74-4DB6-AED8-4A067963A583}" xr6:coauthVersionLast="47" xr6:coauthVersionMax="47" xr10:uidLastSave="{00000000-0000-0000-0000-000000000000}"/>
  <bookViews>
    <workbookView xWindow="-28920" yWindow="-60" windowWidth="29040" windowHeight="17520" tabRatio="818" xr2:uid="{A6C88A70-B8C8-491D-8878-03CCCFE7E134}"/>
  </bookViews>
  <sheets>
    <sheet name="Contents" sheetId="1" r:id="rId1"/>
    <sheet name="Table 1A" sheetId="2" r:id="rId2"/>
    <sheet name="Table 1B" sheetId="6" r:id="rId3"/>
    <sheet name="Table 1C" sheetId="7" r:id="rId4"/>
    <sheet name="Table 2A" sheetId="9" r:id="rId5"/>
    <sheet name="Table 2B" sheetId="11" r:id="rId6"/>
    <sheet name="Table 2C" sheetId="12" r:id="rId7"/>
    <sheet name="Table 3A" sheetId="13" r:id="rId8"/>
    <sheet name="Table 3B" sheetId="14" r:id="rId9"/>
    <sheet name="Table 4A" sheetId="15" r:id="rId10"/>
    <sheet name="Table 4B" sheetId="16" r:id="rId11"/>
    <sheet name="Table 5A" sheetId="17" r:id="rId12"/>
    <sheet name="Table 5B" sheetId="18"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7" i="7" l="1"/>
  <c r="B128" i="7"/>
  <c r="B129" i="7"/>
  <c r="B130" i="7"/>
  <c r="B131" i="7"/>
  <c r="B132" i="7"/>
  <c r="B134" i="7"/>
  <c r="B135" i="7"/>
  <c r="B137" i="7"/>
  <c r="B138" i="7"/>
  <c r="B139" i="7"/>
  <c r="B140" i="7"/>
  <c r="B141" i="7"/>
  <c r="B142" i="7"/>
  <c r="B143" i="7"/>
  <c r="B144" i="7"/>
  <c r="B145" i="7"/>
  <c r="B147" i="7"/>
  <c r="B148" i="7"/>
  <c r="B149" i="7"/>
  <c r="B150" i="7"/>
  <c r="B151" i="7"/>
  <c r="B153" i="7"/>
  <c r="B155" i="7"/>
  <c r="B156" i="7"/>
  <c r="B157" i="7"/>
  <c r="B158" i="7"/>
  <c r="B159" i="7"/>
  <c r="B160" i="7"/>
  <c r="B161" i="7"/>
  <c r="B162" i="7"/>
  <c r="B164" i="7"/>
  <c r="B165" i="7"/>
  <c r="B168" i="7"/>
  <c r="B169" i="7"/>
  <c r="B171" i="7"/>
  <c r="B172" i="7"/>
  <c r="B173" i="7"/>
  <c r="B174" i="7"/>
  <c r="B176" i="7"/>
  <c r="B178" i="7"/>
  <c r="B179" i="7"/>
  <c r="B180" i="7"/>
  <c r="B181" i="7"/>
  <c r="B182" i="7"/>
  <c r="B183" i="7"/>
  <c r="B184" i="7"/>
  <c r="B185" i="7"/>
  <c r="B186" i="7"/>
  <c r="B187" i="7"/>
  <c r="B188" i="7"/>
  <c r="B189" i="7"/>
  <c r="B190" i="7"/>
  <c r="B191" i="7"/>
  <c r="B192" i="7"/>
  <c r="B193" i="7"/>
  <c r="B194" i="7"/>
  <c r="B195" i="7"/>
  <c r="B198" i="7"/>
  <c r="B199" i="7"/>
  <c r="B200" i="7"/>
  <c r="B201" i="7"/>
  <c r="B202" i="7"/>
  <c r="B203" i="7"/>
  <c r="B204" i="7"/>
  <c r="B205" i="7"/>
  <c r="B206" i="7"/>
  <c r="B208" i="7"/>
  <c r="B209" i="7"/>
  <c r="B210" i="7"/>
  <c r="B213" i="7"/>
  <c r="B214" i="7"/>
  <c r="B215" i="7"/>
  <c r="B216" i="7"/>
  <c r="B217" i="7"/>
  <c r="B218" i="7"/>
  <c r="B219" i="7"/>
  <c r="B220" i="7"/>
  <c r="B222" i="7"/>
  <c r="B223" i="7"/>
  <c r="B224" i="7"/>
  <c r="B225" i="7"/>
  <c r="B226" i="7"/>
  <c r="B227" i="7"/>
  <c r="B228" i="7"/>
  <c r="B235" i="7"/>
  <c r="B236" i="7"/>
  <c r="B237" i="7"/>
  <c r="B238" i="7"/>
  <c r="B239" i="7"/>
  <c r="B240" i="7"/>
  <c r="B241" i="7"/>
  <c r="B242" i="7"/>
  <c r="B243" i="7"/>
  <c r="B244" i="7"/>
  <c r="B245" i="7"/>
  <c r="B246" i="7"/>
  <c r="B247" i="7"/>
  <c r="B248" i="7"/>
  <c r="B249" i="7"/>
  <c r="B118" i="7"/>
  <c r="B119" i="7"/>
  <c r="B120" i="7"/>
  <c r="B121" i="7"/>
  <c r="B122" i="7"/>
  <c r="B123" i="7"/>
  <c r="B124" i="7"/>
  <c r="B125" i="7"/>
  <c r="B112" i="7"/>
  <c r="B113" i="7"/>
  <c r="B114" i="7"/>
  <c r="B115" i="7"/>
  <c r="B116" i="7"/>
  <c r="B83" i="7"/>
  <c r="B84" i="7"/>
  <c r="B85" i="7"/>
  <c r="B86" i="7"/>
  <c r="B87" i="7"/>
  <c r="B88" i="7"/>
  <c r="B89" i="7"/>
  <c r="B90" i="7"/>
  <c r="B91" i="7"/>
  <c r="B92" i="7"/>
  <c r="B93" i="7"/>
  <c r="B94" i="7"/>
  <c r="B95" i="7"/>
  <c r="B96" i="7"/>
  <c r="B97" i="7"/>
  <c r="B98" i="7"/>
  <c r="B99" i="7"/>
  <c r="B100" i="7"/>
  <c r="B101" i="7"/>
  <c r="B102" i="7"/>
  <c r="B103" i="7"/>
  <c r="B104" i="7"/>
  <c r="B105" i="7"/>
  <c r="B106" i="7"/>
  <c r="B107" i="7"/>
  <c r="B108" i="7"/>
  <c r="B77" i="7"/>
  <c r="B78" i="7"/>
  <c r="B79" i="7"/>
  <c r="B80" i="7"/>
  <c r="B81" i="7"/>
  <c r="B68" i="7"/>
  <c r="B69" i="7"/>
  <c r="B70" i="7"/>
  <c r="B71" i="7"/>
  <c r="B72" i="7"/>
  <c r="B73" i="7"/>
  <c r="B74" i="7"/>
  <c r="B55" i="7"/>
  <c r="B56" i="7"/>
  <c r="B57" i="7"/>
  <c r="B58" i="7"/>
  <c r="B59" i="7"/>
  <c r="B60" i="7"/>
  <c r="B61" i="7"/>
  <c r="B62" i="7"/>
  <c r="B63" i="7"/>
  <c r="B64" i="7"/>
  <c r="B47" i="7"/>
  <c r="B48" i="7"/>
  <c r="B49" i="7"/>
  <c r="B50" i="7"/>
  <c r="B51" i="7"/>
  <c r="B52" i="7"/>
  <c r="B44" i="7"/>
  <c r="B45" i="7"/>
  <c r="B22" i="7"/>
  <c r="B23" i="7"/>
  <c r="B24" i="7"/>
  <c r="B25" i="7"/>
  <c r="B26" i="7"/>
  <c r="B27" i="7"/>
  <c r="B28" i="7"/>
  <c r="B29" i="7"/>
  <c r="B30" i="7"/>
  <c r="B31" i="7"/>
  <c r="B32" i="7"/>
  <c r="B33" i="7"/>
  <c r="B34" i="7"/>
  <c r="B35" i="7"/>
  <c r="B36" i="7"/>
  <c r="B37" i="7"/>
  <c r="B38" i="7"/>
  <c r="B39" i="7"/>
  <c r="B40" i="7"/>
  <c r="B41" i="7"/>
  <c r="B42" i="7"/>
  <c r="B17" i="7"/>
  <c r="B18" i="7"/>
  <c r="B19" i="7"/>
  <c r="B20" i="7"/>
  <c r="B7" i="7"/>
  <c r="B8" i="7"/>
  <c r="B9" i="7"/>
  <c r="B10" i="7"/>
  <c r="B11" i="7"/>
  <c r="B12" i="7"/>
  <c r="B13" i="7"/>
  <c r="B14" i="7"/>
  <c r="B5" i="7"/>
  <c r="B127" i="6"/>
  <c r="B128" i="6"/>
  <c r="B129" i="6"/>
  <c r="B130" i="6"/>
  <c r="B131" i="6"/>
  <c r="B132" i="6"/>
  <c r="B134" i="6"/>
  <c r="B135" i="6"/>
  <c r="B137" i="6"/>
  <c r="B138" i="6"/>
  <c r="B139" i="6"/>
  <c r="B140" i="6"/>
  <c r="B141" i="6"/>
  <c r="B142" i="6"/>
  <c r="B143" i="6"/>
  <c r="B144" i="6"/>
  <c r="B145" i="6"/>
  <c r="B147" i="6"/>
  <c r="B148" i="6"/>
  <c r="B149" i="6"/>
  <c r="B150" i="6"/>
  <c r="B151" i="6"/>
  <c r="B153" i="6"/>
  <c r="B155" i="6"/>
  <c r="B156" i="6"/>
  <c r="B157" i="6"/>
  <c r="B158" i="6"/>
  <c r="B159" i="6"/>
  <c r="B160" i="6"/>
  <c r="B161" i="6"/>
  <c r="B162" i="6"/>
  <c r="B164" i="6"/>
  <c r="B165" i="6"/>
  <c r="B168" i="6"/>
  <c r="B169" i="6"/>
  <c r="B171" i="6"/>
  <c r="B172" i="6"/>
  <c r="B173" i="6"/>
  <c r="B174" i="6"/>
  <c r="B176" i="6"/>
  <c r="B178" i="6"/>
  <c r="B179" i="6"/>
  <c r="B180" i="6"/>
  <c r="B181" i="6"/>
  <c r="B182" i="6"/>
  <c r="B183" i="6"/>
  <c r="B184" i="6"/>
  <c r="B185" i="6"/>
  <c r="B186" i="6"/>
  <c r="B187" i="6"/>
  <c r="B188" i="6"/>
  <c r="B189" i="6"/>
  <c r="B190" i="6"/>
  <c r="B191" i="6"/>
  <c r="B192" i="6"/>
  <c r="B193" i="6"/>
  <c r="B194" i="6"/>
  <c r="B195" i="6"/>
  <c r="B198" i="6"/>
  <c r="B199" i="6"/>
  <c r="B200" i="6"/>
  <c r="B201" i="6"/>
  <c r="B202" i="6"/>
  <c r="B203" i="6"/>
  <c r="B204" i="6"/>
  <c r="B205" i="6"/>
  <c r="B206" i="6"/>
  <c r="B208" i="6"/>
  <c r="B209" i="6"/>
  <c r="B210" i="6"/>
  <c r="B213" i="6"/>
  <c r="B214" i="6"/>
  <c r="B215" i="6"/>
  <c r="B216" i="6"/>
  <c r="B217" i="6"/>
  <c r="B218" i="6"/>
  <c r="B219" i="6"/>
  <c r="B220" i="6"/>
  <c r="B222" i="6"/>
  <c r="B223" i="6"/>
  <c r="B224" i="6"/>
  <c r="B225" i="6"/>
  <c r="B226" i="6"/>
  <c r="B227" i="6"/>
  <c r="B228" i="6"/>
  <c r="B235" i="6"/>
  <c r="B236" i="6"/>
  <c r="B237" i="6"/>
  <c r="B238" i="6"/>
  <c r="B239" i="6"/>
  <c r="B240" i="6"/>
  <c r="B241" i="6"/>
  <c r="B242" i="6"/>
  <c r="B243" i="6"/>
  <c r="B244" i="6"/>
  <c r="B245" i="6"/>
  <c r="B246" i="6"/>
  <c r="B247" i="6"/>
  <c r="B248" i="6"/>
  <c r="B249" i="6"/>
  <c r="B118" i="6"/>
  <c r="B119" i="6"/>
  <c r="B120" i="6"/>
  <c r="B121" i="6"/>
  <c r="B122" i="6"/>
  <c r="B123" i="6"/>
  <c r="B124" i="6"/>
  <c r="B125" i="6"/>
  <c r="B112" i="6"/>
  <c r="B113" i="6"/>
  <c r="B114" i="6"/>
  <c r="B115" i="6"/>
  <c r="B116" i="6"/>
  <c r="B83" i="6"/>
  <c r="B84" i="6"/>
  <c r="B85" i="6"/>
  <c r="B86" i="6"/>
  <c r="B87" i="6"/>
  <c r="B88" i="6"/>
  <c r="B89" i="6"/>
  <c r="B90" i="6"/>
  <c r="B91" i="6"/>
  <c r="B92" i="6"/>
  <c r="B93" i="6"/>
  <c r="B94" i="6"/>
  <c r="B95" i="6"/>
  <c r="B96" i="6"/>
  <c r="B97" i="6"/>
  <c r="B98" i="6"/>
  <c r="B99" i="6"/>
  <c r="B100" i="6"/>
  <c r="B101" i="6"/>
  <c r="B102" i="6"/>
  <c r="B103" i="6"/>
  <c r="B104" i="6"/>
  <c r="B105" i="6"/>
  <c r="B106" i="6"/>
  <c r="B107" i="6"/>
  <c r="B108" i="6"/>
  <c r="B77" i="6"/>
  <c r="B78" i="6"/>
  <c r="B79" i="6"/>
  <c r="B80" i="6"/>
  <c r="B81" i="6"/>
  <c r="B68" i="6"/>
  <c r="B69" i="6"/>
  <c r="B70" i="6"/>
  <c r="B71" i="6"/>
  <c r="B72" i="6"/>
  <c r="B73" i="6"/>
  <c r="B74" i="6"/>
  <c r="B55" i="6"/>
  <c r="B56" i="6"/>
  <c r="B57" i="6"/>
  <c r="B58" i="6"/>
  <c r="B59" i="6"/>
  <c r="B60" i="6"/>
  <c r="B61" i="6"/>
  <c r="B62" i="6"/>
  <c r="B63" i="6"/>
  <c r="B64" i="6"/>
  <c r="B47" i="6"/>
  <c r="B48" i="6"/>
  <c r="B49" i="6"/>
  <c r="B50" i="6"/>
  <c r="B51" i="6"/>
  <c r="B52" i="6"/>
  <c r="B44" i="6"/>
  <c r="B45" i="6"/>
  <c r="B22" i="6"/>
  <c r="B23" i="6"/>
  <c r="B24" i="6"/>
  <c r="B25" i="6"/>
  <c r="B26" i="6"/>
  <c r="B27" i="6"/>
  <c r="B28" i="6"/>
  <c r="B29" i="6"/>
  <c r="B30" i="6"/>
  <c r="B31" i="6"/>
  <c r="B32" i="6"/>
  <c r="B33" i="6"/>
  <c r="B34" i="6"/>
  <c r="B35" i="6"/>
  <c r="B36" i="6"/>
  <c r="B37" i="6"/>
  <c r="B38" i="6"/>
  <c r="B39" i="6"/>
  <c r="B40" i="6"/>
  <c r="B41" i="6"/>
  <c r="B42" i="6"/>
  <c r="B17" i="6"/>
  <c r="B18" i="6"/>
  <c r="B19" i="6"/>
  <c r="B20" i="6"/>
  <c r="B7" i="6"/>
  <c r="B8" i="6"/>
  <c r="B9" i="6"/>
  <c r="B10" i="6"/>
  <c r="B11" i="6"/>
  <c r="B12" i="6"/>
  <c r="B13" i="6"/>
  <c r="B14" i="6"/>
  <c r="B5" i="6"/>
  <c r="B127" i="2"/>
  <c r="B128" i="2"/>
  <c r="B129" i="2"/>
  <c r="B130" i="2"/>
  <c r="B131" i="2"/>
  <c r="B132" i="2"/>
  <c r="B134" i="2"/>
  <c r="B135" i="2"/>
  <c r="B137" i="2"/>
  <c r="B138" i="2"/>
  <c r="B139" i="2"/>
  <c r="B140" i="2"/>
  <c r="B141" i="2"/>
  <c r="B142" i="2"/>
  <c r="B143" i="2"/>
  <c r="B144" i="2"/>
  <c r="B145" i="2"/>
  <c r="B147" i="2"/>
  <c r="B148" i="2"/>
  <c r="B149" i="2"/>
  <c r="B150" i="2"/>
  <c r="B151" i="2"/>
  <c r="B153" i="2"/>
  <c r="B155" i="2"/>
  <c r="B156" i="2"/>
  <c r="B157" i="2"/>
  <c r="B158" i="2"/>
  <c r="B159" i="2"/>
  <c r="B160" i="2"/>
  <c r="B161" i="2"/>
  <c r="B162" i="2"/>
  <c r="B164" i="2"/>
  <c r="B165" i="2"/>
  <c r="B168" i="2"/>
  <c r="B169" i="2"/>
  <c r="B171" i="2"/>
  <c r="B172" i="2"/>
  <c r="B173" i="2"/>
  <c r="B174" i="2"/>
  <c r="B176" i="2"/>
  <c r="B178" i="2"/>
  <c r="B179" i="2"/>
  <c r="B180" i="2"/>
  <c r="B181" i="2"/>
  <c r="B182" i="2"/>
  <c r="B183" i="2"/>
  <c r="B184" i="2"/>
  <c r="B185" i="2"/>
  <c r="B186" i="2"/>
  <c r="B187" i="2"/>
  <c r="B188" i="2"/>
  <c r="B189" i="2"/>
  <c r="B190" i="2"/>
  <c r="B191" i="2"/>
  <c r="B192" i="2"/>
  <c r="B193" i="2"/>
  <c r="B194" i="2"/>
  <c r="B195" i="2"/>
  <c r="B198" i="2"/>
  <c r="B199" i="2"/>
  <c r="B200" i="2"/>
  <c r="B201" i="2"/>
  <c r="B202" i="2"/>
  <c r="B203" i="2"/>
  <c r="B204" i="2"/>
  <c r="B205" i="2"/>
  <c r="B206" i="2"/>
  <c r="B208" i="2"/>
  <c r="B209" i="2"/>
  <c r="B210" i="2"/>
  <c r="B213" i="2"/>
  <c r="B214" i="2"/>
  <c r="B215" i="2"/>
  <c r="B216" i="2"/>
  <c r="B217" i="2"/>
  <c r="B218" i="2"/>
  <c r="B219" i="2"/>
  <c r="B220" i="2"/>
  <c r="B222" i="2"/>
  <c r="B223" i="2"/>
  <c r="B224" i="2"/>
  <c r="B225" i="2"/>
  <c r="B226" i="2"/>
  <c r="B227" i="2"/>
  <c r="B228" i="2"/>
  <c r="B235" i="2"/>
  <c r="B236" i="2"/>
  <c r="B237" i="2"/>
  <c r="B238" i="2"/>
  <c r="B239" i="2"/>
  <c r="B240" i="2"/>
  <c r="B241" i="2"/>
  <c r="B242" i="2"/>
  <c r="B243" i="2"/>
  <c r="B244" i="2"/>
  <c r="B245" i="2"/>
  <c r="B246" i="2"/>
  <c r="B247" i="2"/>
  <c r="B248" i="2"/>
  <c r="B249" i="2"/>
  <c r="B118" i="2"/>
  <c r="B119" i="2"/>
  <c r="B120" i="2"/>
  <c r="B121" i="2"/>
  <c r="B122" i="2"/>
  <c r="B123" i="2"/>
  <c r="B124" i="2"/>
  <c r="B125" i="2"/>
  <c r="B112" i="2"/>
  <c r="B113" i="2"/>
  <c r="B114" i="2"/>
  <c r="B115" i="2"/>
  <c r="B116" i="2"/>
  <c r="B83" i="2"/>
  <c r="B84" i="2"/>
  <c r="B85" i="2"/>
  <c r="B86" i="2"/>
  <c r="B87" i="2"/>
  <c r="B88" i="2"/>
  <c r="B89" i="2"/>
  <c r="B90" i="2"/>
  <c r="B91" i="2"/>
  <c r="B92" i="2"/>
  <c r="B93" i="2"/>
  <c r="B94" i="2"/>
  <c r="B95" i="2"/>
  <c r="B96" i="2"/>
  <c r="B97" i="2"/>
  <c r="B98" i="2"/>
  <c r="B99" i="2"/>
  <c r="B100" i="2"/>
  <c r="B101" i="2"/>
  <c r="B102" i="2"/>
  <c r="B103" i="2"/>
  <c r="B104" i="2"/>
  <c r="B105" i="2"/>
  <c r="B106" i="2"/>
  <c r="B107" i="2"/>
  <c r="B108" i="2"/>
  <c r="B77" i="2"/>
  <c r="B78" i="2"/>
  <c r="B79" i="2"/>
  <c r="B80" i="2"/>
  <c r="B81" i="2"/>
  <c r="B68" i="2"/>
  <c r="B69" i="2"/>
  <c r="B70" i="2"/>
  <c r="B71" i="2"/>
  <c r="B72" i="2"/>
  <c r="B73" i="2"/>
  <c r="B74" i="2"/>
  <c r="B55" i="2"/>
  <c r="B56" i="2"/>
  <c r="B57" i="2"/>
  <c r="B58" i="2"/>
  <c r="B59" i="2"/>
  <c r="B60" i="2"/>
  <c r="B61" i="2"/>
  <c r="B62" i="2"/>
  <c r="B63" i="2"/>
  <c r="B64" i="2"/>
  <c r="B47" i="2"/>
  <c r="B48" i="2"/>
  <c r="B49" i="2"/>
  <c r="B50" i="2"/>
  <c r="B51" i="2"/>
  <c r="B52" i="2"/>
  <c r="B44" i="2"/>
  <c r="B45" i="2"/>
  <c r="B22" i="2"/>
  <c r="B23" i="2"/>
  <c r="B24" i="2"/>
  <c r="B25" i="2"/>
  <c r="B26" i="2"/>
  <c r="B27" i="2"/>
  <c r="B28" i="2"/>
  <c r="B29" i="2"/>
  <c r="B30" i="2"/>
  <c r="B31" i="2"/>
  <c r="B32" i="2"/>
  <c r="B33" i="2"/>
  <c r="B34" i="2"/>
  <c r="B35" i="2"/>
  <c r="B36" i="2"/>
  <c r="B37" i="2"/>
  <c r="B38" i="2"/>
  <c r="B39" i="2"/>
  <c r="B40" i="2"/>
  <c r="B41" i="2"/>
  <c r="B42" i="2"/>
  <c r="B17" i="2"/>
  <c r="B18" i="2"/>
  <c r="B19" i="2"/>
  <c r="B20" i="2"/>
  <c r="B7" i="2"/>
  <c r="B8" i="2"/>
  <c r="B9" i="2"/>
  <c r="B10" i="2"/>
  <c r="B11" i="2"/>
  <c r="B12" i="2"/>
  <c r="B13" i="2"/>
  <c r="B14" i="2"/>
  <c r="B5" i="2"/>
  <c r="G4" i="15" l="1"/>
</calcChain>
</file>

<file path=xl/sharedStrings.xml><?xml version="1.0" encoding="utf-8"?>
<sst xmlns="http://schemas.openxmlformats.org/spreadsheetml/2006/main" count="2692" uniqueCount="632">
  <si>
    <t>All tables contain reference and calculation columns on the right hand side which provide detail on how the different items presented in the tables are calculated. Values may not sum to totals due to rounding.</t>
  </si>
  <si>
    <t>Contents</t>
  </si>
  <si>
    <t>Table 3A: Receipts, payments, public debt interest (PDI) and underlying cash balance (UCB), including impact of election commitments</t>
  </si>
  <si>
    <t>Table 3B: Revenue, expenses, public debt interest (PDI) and fiscal balance (FB), including impact of election commitments</t>
  </si>
  <si>
    <t>ECR ID</t>
  </si>
  <si>
    <t>Election commitment</t>
  </si>
  <si>
    <t xml:space="preserve">Ref # </t>
  </si>
  <si>
    <t>Calculation</t>
  </si>
  <si>
    <t>Source</t>
  </si>
  <si>
    <t>A</t>
  </si>
  <si>
    <t/>
  </si>
  <si>
    <t>∗</t>
  </si>
  <si>
    <t>..</t>
  </si>
  <si>
    <t>Public debt interest (PDI) impact not included in individual commitments</t>
  </si>
  <si>
    <t>B</t>
  </si>
  <si>
    <t>C</t>
  </si>
  <si>
    <t>= ΣA + B</t>
  </si>
  <si>
    <t>Memorandum item - PDI</t>
  </si>
  <si>
    <t>Public debt interest impacts included in individual commitments</t>
  </si>
  <si>
    <t>D</t>
  </si>
  <si>
    <t>PDI impacts not included in individual commitments</t>
  </si>
  <si>
    <t>E</t>
  </si>
  <si>
    <t>= ΣD + B</t>
  </si>
  <si>
    <t>Notes:</t>
  </si>
  <si>
    <t>A positive number indicates an increase in the budget balance.  A negative number indicates a decrease in the budget balance.</t>
  </si>
  <si>
    <t>Values may not sum to totals due to rounding.</t>
  </si>
  <si>
    <t xml:space="preserve">– Indicates nil.  </t>
  </si>
  <si>
    <t>.. Not zero but rounded to zero.</t>
  </si>
  <si>
    <t>∗ Unquantifiable.</t>
  </si>
  <si>
    <r>
      <rPr>
        <vertAlign val="superscript"/>
        <sz val="9"/>
        <color theme="1" tint="0.499984740745262"/>
        <rFont val="Calibri"/>
        <family val="2"/>
        <scheme val="minor"/>
      </rPr>
      <t>1</t>
    </r>
    <r>
      <rPr>
        <sz val="9"/>
        <color theme="1" tint="0.499984740745262"/>
        <rFont val="Calibri"/>
        <family val="2"/>
        <scheme val="minor"/>
      </rPr>
      <t xml:space="preserve"> Individual election commitment figures in this table generally show the total costed impact excluding PDI, however PDI is included in the totals where the financial impact on UCB is different to the impact on the HCB (these cases are sometimes referred to as 'alternative' or 'balance sheet' financing).  The PDI impacts are shown in the last section of this table.</t>
    </r>
  </si>
  <si>
    <t>Back to contents</t>
  </si>
  <si>
    <t>Measure</t>
  </si>
  <si>
    <t>PEFO UCB baseline ($b)</t>
  </si>
  <si>
    <t>= PEFO data</t>
  </si>
  <si>
    <r>
      <t xml:space="preserve">Total impact of election commitments ($b) </t>
    </r>
    <r>
      <rPr>
        <b/>
        <vertAlign val="superscript"/>
        <sz val="9"/>
        <rFont val="Calibri"/>
        <family val="2"/>
        <scheme val="minor"/>
      </rPr>
      <t>2</t>
    </r>
  </si>
  <si>
    <t>= C from Table 1A</t>
  </si>
  <si>
    <r>
      <t xml:space="preserve">(includes PDI) </t>
    </r>
    <r>
      <rPr>
        <b/>
        <vertAlign val="superscript"/>
        <sz val="9"/>
        <color theme="1"/>
        <rFont val="Calibri"/>
        <family val="2"/>
      </rPr>
      <t>3</t>
    </r>
  </si>
  <si>
    <t>F</t>
  </si>
  <si>
    <t>Final UCB ($b)</t>
  </si>
  <si>
    <t>G</t>
  </si>
  <si>
    <r>
      <rPr>
        <vertAlign val="superscript"/>
        <sz val="9"/>
        <color theme="1" tint="0.499984740745262"/>
        <rFont val="Calibri"/>
        <family val="2"/>
        <scheme val="minor"/>
      </rPr>
      <t>1</t>
    </r>
    <r>
      <rPr>
        <sz val="9"/>
        <color theme="1" tint="0.499984740745262"/>
        <rFont val="Calibri"/>
        <family val="2"/>
        <scheme val="minor"/>
      </rPr>
      <t xml:space="preserve"> Values are shown over the medium term in both dollar figures and as a percentage of GDP. When analysing fiscal aggregates over the medium term, it is generally preferable to use the percentage of GDP figures as these are more suitable for comparisons over time.</t>
    </r>
  </si>
  <si>
    <r>
      <rPr>
        <vertAlign val="superscript"/>
        <sz val="9"/>
        <color theme="1" tint="0.499984740745262"/>
        <rFont val="Calibri"/>
        <family val="2"/>
        <scheme val="minor"/>
      </rPr>
      <t>2</t>
    </r>
    <r>
      <rPr>
        <sz val="9"/>
        <color theme="1" tint="0.499984740745262"/>
        <rFont val="Calibri"/>
        <family val="2"/>
        <scheme val="minor"/>
      </rPr>
      <t xml:space="preserve"> Excludes tax cap adjustments and any resulting PDI impacts from the tax cap.</t>
    </r>
  </si>
  <si>
    <t>PEFO FB baseline ($b)</t>
  </si>
  <si>
    <t>= C from Table 1B</t>
  </si>
  <si>
    <t>Final FB ($b)</t>
  </si>
  <si>
    <t>PEFO HCB baseline ($b)</t>
  </si>
  <si>
    <t>= C from Table 1C</t>
  </si>
  <si>
    <t>Final HCB ($b)</t>
  </si>
  <si>
    <r>
      <t xml:space="preserve">Table 3A: Receipts, payments, public debt interest (PDI) and underlying cash balance (UCB), including impact of election commitments </t>
    </r>
    <r>
      <rPr>
        <b/>
        <vertAlign val="superscript"/>
        <sz val="12"/>
        <color theme="1"/>
        <rFont val="Calibri"/>
        <family val="2"/>
        <scheme val="minor"/>
      </rPr>
      <t>1</t>
    </r>
  </si>
  <si>
    <t>PEFO receipts ($b)</t>
  </si>
  <si>
    <t>PEFO payments – excluding PDI ($b)</t>
  </si>
  <si>
    <r>
      <t xml:space="preserve">PEFO PDI ($b) </t>
    </r>
    <r>
      <rPr>
        <b/>
        <vertAlign val="superscript"/>
        <sz val="9"/>
        <rFont val="Calibri"/>
        <family val="2"/>
        <scheme val="minor"/>
      </rPr>
      <t>2</t>
    </r>
  </si>
  <si>
    <t>PEFO UCB baseline</t>
  </si>
  <si>
    <t>= A from Table 2A = A + B + C</t>
  </si>
  <si>
    <r>
      <t xml:space="preserve">Net impact of election commitments on receipts ($b) </t>
    </r>
    <r>
      <rPr>
        <b/>
        <vertAlign val="superscript"/>
        <sz val="9"/>
        <rFont val="Calibri"/>
        <family val="2"/>
        <scheme val="minor"/>
      </rPr>
      <t>3</t>
    </r>
  </si>
  <si>
    <t>Net impact of election commitments on payments – excluding PDI ($b)</t>
  </si>
  <si>
    <t>= ΣPBO costed payments</t>
  </si>
  <si>
    <r>
      <t xml:space="preserve">Net impact of election commitments on PDI ($b) </t>
    </r>
    <r>
      <rPr>
        <b/>
        <vertAlign val="superscript"/>
        <sz val="9"/>
        <rFont val="Calibri"/>
        <family val="2"/>
        <scheme val="minor"/>
      </rPr>
      <t>4</t>
    </r>
  </si>
  <si>
    <r>
      <t xml:space="preserve">Net impact of election commitments ($b) </t>
    </r>
    <r>
      <rPr>
        <b/>
        <vertAlign val="superscript"/>
        <sz val="9"/>
        <rFont val="Calibri"/>
        <family val="2"/>
        <scheme val="minor"/>
      </rPr>
      <t>5</t>
    </r>
  </si>
  <si>
    <t>H</t>
  </si>
  <si>
    <t>Final receipts ($b)</t>
  </si>
  <si>
    <t>I</t>
  </si>
  <si>
    <t>= A + E</t>
  </si>
  <si>
    <t>Final payments – excluding PDI ($b)</t>
  </si>
  <si>
    <t>J</t>
  </si>
  <si>
    <t>= B + F</t>
  </si>
  <si>
    <t>Final PDI ($b)</t>
  </si>
  <si>
    <t>K</t>
  </si>
  <si>
    <t>= C + G</t>
  </si>
  <si>
    <t>L</t>
  </si>
  <si>
    <r>
      <rPr>
        <vertAlign val="superscript"/>
        <sz val="9"/>
        <color theme="1" tint="0.499984740745262"/>
        <rFont val="Calibri"/>
        <family val="2"/>
        <scheme val="minor"/>
      </rPr>
      <t>3</t>
    </r>
    <r>
      <rPr>
        <sz val="9"/>
        <color theme="1" tint="0.499984740745262"/>
        <rFont val="Calibri"/>
        <family val="2"/>
        <scheme val="minor"/>
      </rPr>
      <t xml:space="preserve"> Includes the tax cap impact on receipts. Excludes any resulting PDI impacts from the tax cap.</t>
    </r>
  </si>
  <si>
    <r>
      <rPr>
        <vertAlign val="superscript"/>
        <sz val="9"/>
        <color theme="1" tint="0.499984740745262"/>
        <rFont val="Calibri"/>
        <family val="2"/>
        <scheme val="minor"/>
      </rPr>
      <t>4</t>
    </r>
    <r>
      <rPr>
        <sz val="9"/>
        <color theme="1" tint="0.499984740745262"/>
        <rFont val="Calibri"/>
        <family val="2"/>
        <scheme val="minor"/>
      </rPr>
      <t xml:space="preserve"> Includes all PDI impacts, including any resulting PDI impacts from the tax cap.</t>
    </r>
  </si>
  <si>
    <r>
      <rPr>
        <vertAlign val="superscript"/>
        <sz val="9"/>
        <color theme="1" tint="0.499984740745262"/>
        <rFont val="Calibri"/>
        <family val="2"/>
        <scheme val="minor"/>
      </rPr>
      <t>5</t>
    </r>
    <r>
      <rPr>
        <sz val="9"/>
        <color theme="1" tint="0.499984740745262"/>
        <rFont val="Calibri"/>
        <family val="2"/>
        <scheme val="minor"/>
      </rPr>
      <t xml:space="preserve"> Includes tax cap adjustments and any resulting PDI impacts from the tax cap.</t>
    </r>
  </si>
  <si>
    <r>
      <t xml:space="preserve">Table 3B: Revenue, expenses, public debt interest (PDI) and fiscal balance (FB), including impact of election commitments </t>
    </r>
    <r>
      <rPr>
        <b/>
        <vertAlign val="superscript"/>
        <sz val="12"/>
        <color theme="1"/>
        <rFont val="Calibri"/>
        <family val="2"/>
        <scheme val="minor"/>
      </rPr>
      <t>1</t>
    </r>
  </si>
  <si>
    <t>PEFO revenue ($b)</t>
  </si>
  <si>
    <t>PEFO expenses and net capital investment – excluding PDI ($b)</t>
  </si>
  <si>
    <t>PEFO FB baseline</t>
  </si>
  <si>
    <t>= A from Table 2B = A + B + C</t>
  </si>
  <si>
    <r>
      <t xml:space="preserve">Net impact of election commitments on revenue ($b) </t>
    </r>
    <r>
      <rPr>
        <b/>
        <vertAlign val="superscript"/>
        <sz val="9"/>
        <rFont val="Calibri"/>
        <family val="2"/>
        <scheme val="minor"/>
      </rPr>
      <t>3</t>
    </r>
  </si>
  <si>
    <t>Net impact of election commitments on expenses and net capital investment – excluding PDI ($b)</t>
  </si>
  <si>
    <t>= ΣPBO costed expenses</t>
  </si>
  <si>
    <t>Final revenue ($b)</t>
  </si>
  <si>
    <t>Final expenses and net capital investment – excluding PDI ($b)</t>
  </si>
  <si>
    <r>
      <rPr>
        <b/>
        <sz val="12"/>
        <rFont val="Calibri"/>
        <family val="2"/>
        <scheme val="minor"/>
      </rPr>
      <t>Tables 2A-C</t>
    </r>
    <r>
      <rPr>
        <sz val="12"/>
        <rFont val="Calibri"/>
        <family val="2"/>
        <scheme val="minor"/>
      </rPr>
      <t xml:space="preserve"> show the underlying cash balance, fiscal balance and headline cash balance in nominal dollar terms and as a proportion of gross domestic product (GDP) over the 2025-26 Budget forward estimates period and the medium term to 2035-36.</t>
    </r>
  </si>
  <si>
    <r>
      <rPr>
        <b/>
        <sz val="12"/>
        <rFont val="Calibri"/>
        <family val="2"/>
        <scheme val="minor"/>
      </rPr>
      <t xml:space="preserve">Tables 3A-B </t>
    </r>
    <r>
      <rPr>
        <sz val="12"/>
        <rFont val="Calibri"/>
        <family val="2"/>
        <scheme val="minor"/>
      </rPr>
      <t>show the underlying cash balance and fiscal balance breakdown of receipts, payments and public debt interest in nominal dollar terms and as a proportion of gross domestic product (GDP) over the 2025-26 Budget forward estimates period and the medium term to 2035-36.</t>
    </r>
  </si>
  <si>
    <t>Appendix tables - the Coalition</t>
  </si>
  <si>
    <t>Table 1A: Detailed budget impacts of election commitments, $ million, the Coalition, medium term, underlying cash balance</t>
  </si>
  <si>
    <t>Table 1B: Detailed budget impacts of election commitments, $ million, the Coalition, medium term, fiscal balance</t>
  </si>
  <si>
    <t>Table 1C: Detailed budget impacts of election commitments, $ million, the Coalition, medium term, headline cash balance</t>
  </si>
  <si>
    <t>Table 2A: Underlying cash balance (UCB), the Coalition, medium term</t>
  </si>
  <si>
    <t>Table 2B: Fiscal balance (FB), the Coalition, medium term</t>
  </si>
  <si>
    <t>Table 2C: Headline cash balance (HCB), the Coalition, medium term</t>
  </si>
  <si>
    <t>The Coalition</t>
  </si>
  <si>
    <r>
      <rPr>
        <b/>
        <sz val="12"/>
        <color theme="1"/>
        <rFont val="Calibri"/>
        <family val="2"/>
        <scheme val="minor"/>
      </rPr>
      <t>Tables 1A-C</t>
    </r>
    <r>
      <rPr>
        <sz val="12"/>
        <color theme="1"/>
        <rFont val="Calibri"/>
        <family val="2"/>
        <scheme val="minor"/>
      </rPr>
      <t xml:space="preserve"> show the Coalition's election commitment impacts over the medium term for the underlying cash balance, fiscal balance and headline cash balance, following the grouping in the published list of election commitments.</t>
    </r>
  </si>
  <si>
    <r>
      <rPr>
        <vertAlign val="superscript"/>
        <sz val="9"/>
        <color theme="1" tint="0.499984740745262"/>
        <rFont val="Calibri"/>
        <family val="2"/>
        <scheme val="minor"/>
      </rPr>
      <t>2</t>
    </r>
    <r>
      <rPr>
        <sz val="9"/>
        <color theme="1" tint="0.499984740745262"/>
        <rFont val="Calibri"/>
        <family val="2"/>
        <scheme val="minor"/>
      </rPr>
      <t xml:space="preserve"> Shows 'interest expenses' from 2025 PEFO (page 17). </t>
    </r>
  </si>
  <si>
    <r>
      <rPr>
        <vertAlign val="superscript"/>
        <sz val="9"/>
        <color theme="1" tint="0.499984740745262"/>
        <rFont val="Calibri"/>
        <family val="2"/>
        <scheme val="minor"/>
      </rPr>
      <t>2</t>
    </r>
    <r>
      <rPr>
        <sz val="9"/>
        <color theme="1" tint="0.499984740745262"/>
        <rFont val="Calibri"/>
        <family val="2"/>
        <scheme val="minor"/>
      </rPr>
      <t xml:space="preserve"> Shows 'Interest paid' from 2025 PEFO (page 21). </t>
    </r>
  </si>
  <si>
    <t>A stronger Australia with safe, sustainable, and connected communities</t>
  </si>
  <si>
    <t>A stronger economy with lower inflation</t>
  </si>
  <si>
    <t>Additional commitments identified by the Parliamentary Budget Office (PBO)</t>
  </si>
  <si>
    <t>Affordable homes, better skills, and reliable infrastructure</t>
  </si>
  <si>
    <t>Cheaper and more reliable energy</t>
  </si>
  <si>
    <t>Guaranteed quality healthcare and essential services</t>
  </si>
  <si>
    <t>ECR-2025-2234</t>
  </si>
  <si>
    <t>ECR-2025-2299</t>
  </si>
  <si>
    <t>ECR-2025-2155</t>
  </si>
  <si>
    <t>ECR-2025-2175</t>
  </si>
  <si>
    <t>ECR-2025-2312</t>
  </si>
  <si>
    <t>ECR-2025-2465</t>
  </si>
  <si>
    <t>ECR-2025-2523</t>
  </si>
  <si>
    <t>ECR-2025-2549</t>
  </si>
  <si>
    <t>ECR-2025-2895</t>
  </si>
  <si>
    <t>ECR-2025-2050</t>
  </si>
  <si>
    <t>ECR-2025-2133</t>
  </si>
  <si>
    <t>ECR-2025-2137</t>
  </si>
  <si>
    <t>ECR-2025-2278</t>
  </si>
  <si>
    <t>ECR-2025-2423</t>
  </si>
  <si>
    <t>ECR-2025-2542</t>
  </si>
  <si>
    <t>ECR-2025-2866</t>
  </si>
  <si>
    <t>ECR-2025-2700</t>
  </si>
  <si>
    <t>ECR-2025-2351</t>
  </si>
  <si>
    <t>ECR-2025-2602</t>
  </si>
  <si>
    <t>ECR-2025-2497</t>
  </si>
  <si>
    <t>ECR-2025-2703</t>
  </si>
  <si>
    <t>ECR-2025-2814</t>
  </si>
  <si>
    <t>ECR-2025-2817</t>
  </si>
  <si>
    <t>ECR-2025-2872</t>
  </si>
  <si>
    <t>ECR-2025-2899</t>
  </si>
  <si>
    <t>Invictus Games – support</t>
  </si>
  <si>
    <t>Judicial Inquiry into anti-Semitism at universities</t>
  </si>
  <si>
    <t>Albany National Anzac Centre – Commonwealth support</t>
  </si>
  <si>
    <t>Conservation Volunteers Australia – support</t>
  </si>
  <si>
    <t>Men’s mental health – additional support for Movember and Men’s Sheds</t>
  </si>
  <si>
    <t>Funding for Makarrata, Treaty and ‘Truth Telling’ – redirect to Indigenous Affairs priorities</t>
  </si>
  <si>
    <t>Chinese Museum of Queensland – support</t>
  </si>
  <si>
    <t>80th Anniversary of the end of World War II grants program</t>
  </si>
  <si>
    <t>Driver Reviver site upgrades</t>
  </si>
  <si>
    <t>National Child Sex Offender Register – one year trial</t>
  </si>
  <si>
    <t>Australian Recycling Accreditation Program</t>
  </si>
  <si>
    <t>Alannah and Madeline Foundation – support</t>
  </si>
  <si>
    <t>Expanding the PPP500 Scheme to support vulnerable parties seeking a property settlement</t>
  </si>
  <si>
    <t>Joint Taskforce to investigate union corruption and links to organised crime in the construction industry</t>
  </si>
  <si>
    <t>Ambassador for First Nations People – reverse</t>
  </si>
  <si>
    <t>Cease duplicative research activities of the Climate Change Authority</t>
  </si>
  <si>
    <t>Northam Re-use Water Scheme – Western Australia – support</t>
  </si>
  <si>
    <t>Rural Financial Counselling Service – additional funding</t>
  </si>
  <si>
    <t>Critical minerals production tax credits – do not proceed</t>
  </si>
  <si>
    <t>Australian Tertiary Education Commission – not proceeding</t>
  </si>
  <si>
    <t>Reinstate the Native Title Respondent and Native Title Officer Schemes</t>
  </si>
  <si>
    <t>Instant asset write-off – increase cap to $30,000 and make permanent</t>
  </si>
  <si>
    <t>Personal Income Tax – amendments</t>
  </si>
  <si>
    <t>Singleton Water Security project – support</t>
  </si>
  <si>
    <t>Timber Manufacturing Expansion Program</t>
  </si>
  <si>
    <t>Annualisation of General Social Survey for Measuring what Matters – reverse</t>
  </si>
  <si>
    <t>Grants in Attorney General’s and Foreign Affairs and Trade portfolios – prioritise</t>
  </si>
  <si>
    <t>Future Made in Australia – Attracting Investments in Key Industries – redirect</t>
  </si>
  <si>
    <t>Green Hydrogen Production Tax Incentives – reverse</t>
  </si>
  <si>
    <t>Export growth grants to tariff affected sectors</t>
  </si>
  <si>
    <t>Productivity Fund payments – redirection</t>
  </si>
  <si>
    <t>Suburban Rail Loop – not proceeding</t>
  </si>
  <si>
    <t>National Organic Standard</t>
  </si>
  <si>
    <t>Nature Positive Plan and Environmental Protection Australia – reversal</t>
  </si>
  <si>
    <t>Re-phase additional Australian Antarctic Program funding</t>
  </si>
  <si>
    <t>Student HELP changes – not proceeding</t>
  </si>
  <si>
    <t>Green Aluminium Production Credit – do not proceed</t>
  </si>
  <si>
    <t>Establish a Supermarket Commissioner</t>
  </si>
  <si>
    <t>New Homes Bonus – reverse</t>
  </si>
  <si>
    <t>Building Better Regions Fund</t>
  </si>
  <si>
    <t>Safer Local Roads and Infrastructure Program – redirect</t>
  </si>
  <si>
    <t>Housing Australia Future Fund – unwind</t>
  </si>
  <si>
    <t>Restoring ARENA to its original function</t>
  </si>
  <si>
    <t>Redirect funding from Department of Climate Change, Energy, the Environment and Water</t>
  </si>
  <si>
    <t>Daintree Renewable Energy Microgrid Project – support</t>
  </si>
  <si>
    <t>Rewiring the Nation Fund – unwind and redirect</t>
  </si>
  <si>
    <t>Ready to Read program</t>
  </si>
  <si>
    <t>Veterans’ and Families’ Hubs</t>
  </si>
  <si>
    <t>Review of women-specific health items on the MBS and PBS</t>
  </si>
  <si>
    <t>Suicide Prevention Research Fund</t>
  </si>
  <si>
    <t>Next Stages of Creutzfeldt-Jakob disease longitudinal study</t>
  </si>
  <si>
    <t>Maddie Riewoldt’s Vision – additional support</t>
  </si>
  <si>
    <t>Stay Afloat Australia – additional support</t>
  </si>
  <si>
    <t>National School Chaplaincy Program – additional resourcing</t>
  </si>
  <si>
    <t>Veterans Guild – support</t>
  </si>
  <si>
    <t>National Institute for Mental Health – expansion</t>
  </si>
  <si>
    <t>Increasing Isolated Children Boarding School Allowance</t>
  </si>
  <si>
    <t>Teach Maths for Australia</t>
  </si>
  <si>
    <t>Veterans Chaplaincy program</t>
  </si>
  <si>
    <t>Support for Disaster Relief Australia for a National Veterans Volunteer Program</t>
  </si>
  <si>
    <t>Ovarian Cancer Australia</t>
  </si>
  <si>
    <t>Northern Australia and Rangelands Fire Information</t>
  </si>
  <si>
    <t>Explicit Teaching Accelerator Fund</t>
  </si>
  <si>
    <t>Clean4shore program</t>
  </si>
  <si>
    <t>Drug detection and screening infrastructure investment</t>
  </si>
  <si>
    <t>Battery and e-waste disposal</t>
  </si>
  <si>
    <t>Passenger Movement Charge – indexation</t>
  </si>
  <si>
    <t>Cease undersubscribed COVID-era securitisation measures</t>
  </si>
  <si>
    <t>Roads to Recovery – additional investment</t>
  </si>
  <si>
    <t>Start-up Year Loan Scheme – reprioritise</t>
  </si>
  <si>
    <t>Anti-Semitism Taskforce</t>
  </si>
  <si>
    <t>Boosting perpetrator responses including electronic monitoring and ankle bracelets on high-risk perpetrators</t>
  </si>
  <si>
    <t>Fast Track scheme within the Administrative Review Tribunal – two year trial</t>
  </si>
  <si>
    <t>Cashless Debit Card – trial sites</t>
  </si>
  <si>
    <t>Deliver a National Gas Plan – cease funding for the Environmental Defenders Office</t>
  </si>
  <si>
    <t>Net Zero Economy Agency and related measures – unwind</t>
  </si>
  <si>
    <t>Australian Small Business and Family Enterprise Ombudsman – additional resourcing</t>
  </si>
  <si>
    <t>Introduce a digital alternative to cash with no surcharge</t>
  </si>
  <si>
    <t>Maintain Australian Border Force presence at Hobart Airport</t>
  </si>
  <si>
    <t>Home Guarantee Scheme – expanding access</t>
  </si>
  <si>
    <t>Restoring the Australian Building and Construction Commission</t>
  </si>
  <si>
    <t>Restore humanitarian program intake to long term average</t>
  </si>
  <si>
    <t>Canberra entertainment infrastructure – redirect</t>
  </si>
  <si>
    <t>Super Home Buyer Scheme</t>
  </si>
  <si>
    <t>Regional Airports Program</t>
  </si>
  <si>
    <t>Housing Infrastructure Program</t>
  </si>
  <si>
    <t>1800MEDICARE – establishment</t>
  </si>
  <si>
    <t>Remote Indigenous Student Success Boarding Fund</t>
  </si>
  <si>
    <t>Investing in regional health education infrastructure and workforce</t>
  </si>
  <si>
    <t>Australian Centre to Counter Child Exploitation – double funding</t>
  </si>
  <si>
    <t>Landmass and territorial waters lock up – reverse</t>
  </si>
  <si>
    <t>Cost of Living Tax Offset</t>
  </si>
  <si>
    <t>Tech Booster</t>
  </si>
  <si>
    <t>Deliver a National Gas Plan – east coast gas reservation</t>
  </si>
  <si>
    <t>Deliver a National Gas Plan – reinstate annual acreage releases for offshore oil and gas exploration</t>
  </si>
  <si>
    <t>Reinstate the 50 per cent pass mark required for HECS-HELP loans</t>
  </si>
  <si>
    <t>Home Batteries Program – redirect</t>
  </si>
  <si>
    <t>Superannuation on Paid Parental Leave – parental choice</t>
  </si>
  <si>
    <t>Investing in safer and more connected communities</t>
  </si>
  <si>
    <t>Indigenous Advancement Strategy – reallocations</t>
  </si>
  <si>
    <t>National Domestic Violence Register – two year trial</t>
  </si>
  <si>
    <t>Regulation and taxation of vaping products</t>
  </si>
  <si>
    <t>Abolish family car and ute tax</t>
  </si>
  <si>
    <t>National Food Security Strategy</t>
  </si>
  <si>
    <t>New agricultural visa</t>
  </si>
  <si>
    <t>Small business tax deductibility for business-related meal expenses – 2 years</t>
  </si>
  <si>
    <t>Tasmanian Freight Equalisation Scheme – resourcing</t>
  </si>
  <si>
    <t>Deliver a National Gas Plan – strengthen the Australian Domestic Gas Security Mechanism</t>
  </si>
  <si>
    <t>Halt further water buybacks currently included in the budget</t>
  </si>
  <si>
    <t>Deliver a National Gas Plan – halve environmental approval timelines and reform offshore gas regulations</t>
  </si>
  <si>
    <t>Deliver a National Gas Plan – additional components</t>
  </si>
  <si>
    <t>Reinstate the 80:20 federal funding model for nationally significant road projects in regional and remote Australia</t>
  </si>
  <si>
    <t>Rail projects – increase and rephase</t>
  </si>
  <si>
    <t>Newly arrived migrant waiting period – rationalise to 5 years</t>
  </si>
  <si>
    <t>Local Roads and Community Infrastructure program</t>
  </si>
  <si>
    <t>Help to Buy Scheme – reverse</t>
  </si>
  <si>
    <t>Deliver a National Gas Plan – $1 billion Critical Gas Infrastructure Fund</t>
  </si>
  <si>
    <t>Permanently restoring 20 psychology sessions and investing in headspace centres, youth psychosis centres and additional Urgent Care Clinics</t>
  </si>
  <si>
    <t>Boost for food relief charities</t>
  </si>
  <si>
    <t>Department of Infrastructure, Transport, Regional Development, Communications and the Arts – Net Zero Unit and maritime strategic fleet – reprioritisation</t>
  </si>
  <si>
    <t>National Reconstruction Fund and National Reconstruction Fund Corporation – unwind and close</t>
  </si>
  <si>
    <t>Replace biosecurity protection levy with import container levy</t>
  </si>
  <si>
    <t>Deliver a National Gas Plan – implement consistent reporting requirements across the east coast gas market</t>
  </si>
  <si>
    <t>Deliver a National Gas Plan – introduce a gas security incentive</t>
  </si>
  <si>
    <t>Future Generations Fund and Regional Australia Future Fund</t>
  </si>
  <si>
    <t>Better transport and telecommunications infrastructure</t>
  </si>
  <si>
    <t>First Home Buyer Mortgage Tax Deductibility Scheme</t>
  </si>
  <si>
    <t>Queensland Beef Corridors</t>
  </si>
  <si>
    <t>Supporting local community infrastructure projects</t>
  </si>
  <si>
    <t>Making it easier to access Medicare subsidised psychology sessions</t>
  </si>
  <si>
    <t>https://web.archive.org/web/20250428011707/https://www.liberal.org.au/policy/supporting-our-veterans</t>
  </si>
  <si>
    <t>https://web.archive.org/web/20250319202418/https://peterdutton.com.au/dutton-paterson-saulo-wilson-media-release-coalition-commitment-to-rebuild-adass-israel-synagogue/</t>
  </si>
  <si>
    <t>https://web.archive.org/web/20250504100456/https://peterdutton.com.au/dutton-mcintosh-media-release-coalition-to-fund-alannah-and-madeline-foundation/</t>
  </si>
  <si>
    <t>https://web.archive.org/web/20250519002142/https://www.andrewhastie.com.au/joint_statement_anzac_centre_albany</t>
  </si>
  <si>
    <t>https://webarchive.nla.gov.au/awa/20250501142142/https://www.liberal.org.au/policy/our-plan-for-a-sustainable-budget</t>
  </si>
  <si>
    <t>https://web.archive.org/web/20250519002805/https://peterdutton.com.au/dutton-paterson-saulo-wilson-media-release-coalition-commitment-to-rebuild-adass-israel-synagogue/</t>
  </si>
  <si>
    <t>https://web.archive.org/web/20250423205635/https://peterdutton.com.au/dutton-paterson-cash-media-release-unprecedented-action-to-keep-australian-communities-safe/</t>
  </si>
  <si>
    <t>https://web.archive.org/web/20250501154244/https://www.liberal.org.au/2025/04/30/coalition-backs-in-further-practical-environmental-projects-to-accelerate-conservation-efforts</t>
  </si>
  <si>
    <t>https://web.archive.org/web/20250519011457/https://duniam.com.au/media-release-coalition-to-support-battery-recycling-with-50-million-investment/</t>
  </si>
  <si>
    <t>https://web.archive.org/web/20250428011802/https://www.liberal.org.au/policy/our-plan-to-address-family-and-domestic-violence</t>
  </si>
  <si>
    <t>https://web.archive.org/web/20250519165657/https://www.liberal.org.au/our-plan</t>
  </si>
  <si>
    <t>https://web.archive.org/web/20250402022357/https://peterdutton.com.au/dutton-wood-scarr-swindon-media-release-225000-for-chinese-museum-of-queensland/</t>
  </si>
  <si>
    <t>https://web.archive.org/web/20250522061411/https://nswliberal.org.au/centralcoastplan</t>
  </si>
  <si>
    <t>https://web.archive.org/web/20250427085520/https://sarahhenderson.com.au/delivering-for-our-community-language-schools/</t>
  </si>
  <si>
    <t>https://web.archive.org/web/20250423042630/hhttps://www.liberal.org.au/policy/our-plan-to-make-australians-safer-on-our-roads</t>
  </si>
  <si>
    <t>https://web.archive.org/web/20250420085405/https://www.liberal.org.au/2025/04/17/coalition-to-get-road-safety-back-on-track</t>
  </si>
  <si>
    <t>https://web.archive.org/web/20250424031145/https://www.liberal.org.au/policy/our-plan-to-make-communities-safer</t>
  </si>
  <si>
    <t>https://web.archive.org/web/20250409102336/https://www.nationals.org.au/news-posts/coalition-to-make-the-agriculture-industry-a-safer-industry</t>
  </si>
  <si>
    <t>https://web.archive.org/web/20250506075719/https://www.liberal.org.au/policy/supporting-our-veterans</t>
  </si>
  <si>
    <t>https://webarchive.nla.gov.au/awa/20250501140843/https://www.liberal.org.au/policy/our-plan-to-deliver-australian-gas-for-australians</t>
  </si>
  <si>
    <t>https://web.archive.org/web/20250428011707/https:/www.liberal.org.au/policy/supporting-our-veterans</t>
  </si>
  <si>
    <t>https://web.archive.org/web/20250317214053/https://www.liberal.org.au/2025/03/17/strong-action-to-stamp-out-organised-crime-in-the-construction-industry</t>
  </si>
  <si>
    <t>https://web.archive.org/web/20250521060941/https://nswliberal.org.au/news/liberals-commit-to-kokoda-track-memorial-walkway</t>
  </si>
  <si>
    <t>https://webarchive.nla.gov.au/awa/20250501142201/https://www.liberal.org.au/policy/our-plan-for-quality-healthcare</t>
  </si>
  <si>
    <t>https://web.archive.org/web/20250423205638/https://peterdutton.com.au/dutton-paterson-wood-media-release-national-child-sex-offender-disclosure-scheme/</t>
  </si>
  <si>
    <t>https://web.archive.org/web/20250503131428/https://www.liberal.org.au/2025/03/17/strong-action-to-stamp-out-organised-crime-in-the-construction-industry</t>
  </si>
  <si>
    <t>https://webarchive.nla.gov.au/awa/20250420085405/https://www.liberal.org.au/2025/04/17/coalition-to-get-road-safety-back-on-track</t>
  </si>
  <si>
    <t>https://web.archive.org/web/20250519043932/https://duniam.com.au/media-release-coalition-backs-in-better-fishing/</t>
  </si>
  <si>
    <t>https://web.archive.org/web/20250505144528/https://www.liberal.org.au/policy/our-plan-to-address-family-and-domestic-violence</t>
  </si>
  <si>
    <t>https://www.facebook.com/JacintaNPrice/posts/pfbid02e3GHRiRWESFYaHwe64xrtZh6xH4yDSygqiGNhMuoiSbgSZAM675AWGuJyvA7uyxrl?rdid=gQvMHnD4xi9kk8oa</t>
  </si>
  <si>
    <t>https://web.archive.org/web/20250503130551/https://www.liberal.org.au/policy/supporting-our-veterans</t>
  </si>
  <si>
    <t>https://webarchive.nla.gov.au/awa/20250501142010/https://www.liberal.org.au/2025/04/11/coalition-to-abolish-labors-unfair-car-tax-cutting-costs-for-families</t>
  </si>
  <si>
    <t>https://web.archive.org/web/20250423071259/https://www.nationals.org.au/news-posts/coalition-to-stop-fake-meat-products-fooling-families</t>
  </si>
  <si>
    <t>https://web.archive.org/web/20250327124045/https://www.liberal.org.au/2025/03/27/budget-in-reply#:~:text=A%20Coalition%20Government%20will,will%20cost%20%246%20billion.</t>
  </si>
  <si>
    <t>https://web.archive.org/web/20250419042700/https://www.liberal.org.au/policy/our-plan-for-small-and-family-business</t>
  </si>
  <si>
    <t>https://web.archive.org/web/20250425124240/https://sarahhenderson.com.au/address-to-2025-universities-australia-solutions-summit/</t>
  </si>
  <si>
    <t>https://web.archive.org/web/20250504095942/https://peterdutton.com.au/dutton-taylor-media-release-coalition-to-deliver-targeted-cost-of-living-relief/</t>
  </si>
  <si>
    <t>https://web.archive.org/web/20250408091759/https://www.liberal.org.au/policy/our-plan-to-back-australian-fisheries-and-forestry</t>
  </si>
  <si>
    <t>https://web.archive.org/web/20250504095857/https://peterdutton.com.au/dutton-taylor-sukkar-duniam-media-release-coalition-to-accelerate-approvals-to-unlock-more-housing-supply/</t>
  </si>
  <si>
    <t>https://web.archive.org/web/20250327124045/https://www.liberal.org.au/2025/03/27/budget-in-reply</t>
  </si>
  <si>
    <t>https://web.archive.org/web/20250411065119/https://www.liberal.org.au/policy/our-plan-for-a-strong-australian-resources-industry</t>
  </si>
  <si>
    <t>https://web.archive.org/web/20250430230237/https://www.nationals.org.au/election-policies/our-plan-for-agriculture</t>
  </si>
  <si>
    <t>https://web.archive.org/web/20250504111306/https://www.nationals.org.au/news-posts/coalitions-national-food-security-plan-supports-australias-food-producers</t>
  </si>
  <si>
    <t>https://web.archive.org/web/20250430221724/https://www.nationals.org.au/news-posts/coalitions-national-food-security-plan-supports-australias-food-producers</t>
  </si>
  <si>
    <t>https://www.facebook.com/Matt4Bullwinkel/posts/pfbid0zDMhw7SQeEAPPwK84FFQikTqhcoF2Au8J6DABpDAkvcnpEhGRVtvWK8BmJTQNTJjl?rdid=o014fywOJK9843QC</t>
  </si>
  <si>
    <t>https://web.archive.org/web/20250414061022/https://www.nationals.org.au/news-posts/coalitions-legislated-biosecurity-funding-to-end-labors-fresh-food-tax-threat</t>
  </si>
  <si>
    <t>https://web.archive.org/web/20250504100116/https://peterdutton.com.au/dutton-littleproud-media-release-coalitions-agriculture-show-funding-brings-more-fun-to-regions/</t>
  </si>
  <si>
    <t>https://web.archive.org/web/20250501085026/https://www.abc.net.au/news/2025-05-01/recreational-vaping-to-be-allowed-under-a-dutton-government/105239948</t>
  </si>
  <si>
    <t>https://web.archive.org/web/20250503130549/https://www.liberal.org.au/policy/the-coalitions-plan-for-agriculture</t>
  </si>
  <si>
    <t>https://web.archive.org/web/20250506143931/https://www.nationals.org.au/election-policies/our-plan-for-agriculture</t>
  </si>
  <si>
    <t>https://web.archive.org/web/20250420050955/https://perindavey.com.au/sue-gilroy-secures-singleton-water-reservoir/</t>
  </si>
  <si>
    <t>https://web.archive.org/web/20250423093859/https://www.abc.net.au/news/2025-04-23/coalition-policies-on-chopping-block-dutton/105208066</t>
  </si>
  <si>
    <t>https://web.archive.org/web/20250504102353/https://peterdutton.com.au/dutton-mckenzie-media-release-coalition-to-turbocharge-the-tasmanian-freight-and-passenger-scheme-with-65-million/</t>
  </si>
  <si>
    <t>https://web.archive.org/web/20250407060348/https://www.liberal.org.au/policy/our-plan-for-tasmania</t>
  </si>
  <si>
    <t>https://web.archive.org/web/20250504102103/https://peterdutton.com.au/dutton-mckenzie-media-release-13-billion-to-get-melbourne-airport-rail-back-on-track/</t>
  </si>
  <si>
    <t>https://web.archive.org/web/20250504114220/https://www.nationals.org.au/news-posts/cost-of-living-crisis-worsens-for-families-as-farmers-fear-supermarket-retribution</t>
  </si>
  <si>
    <t>https://web.archive.org/web/20250503175007/https://www.nationals.org.au/election-policies/our-plan-for-agriculture</t>
  </si>
  <si>
    <t>https://web.archive.org/web/20250504102255/https://peterdutton.com.au/dutton-ley-sukkar-henderson-tehan-media-release-coalitions-plan-to-tackle-labors-housing-crisis/</t>
  </si>
  <si>
    <t>https://web.archive.org/web/20250501173351/https://tas.liberal.org.au/news/2025/04/22/liberals-lock-future-international-flights-hobart-airport</t>
  </si>
  <si>
    <t>https://web.archive.org/web/20250503130608/https://www.liberal.org.au/policy/our-plan-to-make-australians-safer-on-our-roads</t>
  </si>
  <si>
    <t>https://web.archive.org/web/20250509221700/https://www.nationals.org.au/news-posts/coalitions-national-food-security-plan-supports-australias-food-producers</t>
  </si>
  <si>
    <t>https://web.archive.org/web/20250504100500/https://peterdutton.com.au/dutton-mckenzie-pasin-stevens-flint-basic-media-release-coalition-commits-to-greater-adelaide-freight-bypass/</t>
  </si>
  <si>
    <t>https://web.archive.org/web/20250518235623/https://www.annewebster.com.au/media/coalition-to-building-a-better-mallee-region-thanks-to-revived-building-better-regions-fund---media-release</t>
  </si>
  <si>
    <t>https://web.archive.org/web/20250420085631/https://www.liberal.org.au/2025/04/17/a-dutton-coalition-government-will-build-a-new-national-network-of-australian-technical-colleges</t>
  </si>
  <si>
    <t>https://web.archive.org/web/20250000000000*/https://www.liberal.org.au/policy/more-affordable-homes</t>
  </si>
  <si>
    <t>https://web.archive.org/web/20250503130610/https://www.liberal.org.au/2025/03/27/budget-in-reply</t>
  </si>
  <si>
    <t>https://web.archive.org/web/20250503131529/https://www.liberal.org.au/2024/10/19/coalition-to-boost-home-building-across-australia</t>
  </si>
  <si>
    <t>https://web.archive.org/web/20250414062649/https://www.nationals.org.au/news-posts/coalition-to-invest-1-billion-in-local-roads-and-community-infrastructure</t>
  </si>
  <si>
    <t>https://www.facebook.com/MichelleLandryMP/posts/400-million-to-improve-queensland-beef-corridors-the-coalition-government-has-co/420089626598923/</t>
  </si>
  <si>
    <t>https://web.archive.org/web/20250503125357/https://www.liberal.org.au/policy/our-plan-for-regional-australia</t>
  </si>
  <si>
    <t>https://web.archive.org/web/20250503130550/https://www.liberal.org.au/policy/our-plan-for-housing-and-home-ownership</t>
  </si>
  <si>
    <t>https://webarchive.nla.gov.au/awa/20250317214053/https://www.liberal.org.au/2025/03/17/strong-action-to-stamp-out-organised-crime-in-the-construction-industry</t>
  </si>
  <si>
    <t>https://web.archive.org/web/20250502163620/https://investment.infrastructure.gov.au/about/local-initiatives/safer-local-roads-and-infrastructure-program</t>
  </si>
  <si>
    <t>https://web.archive.org/web/20250428031245/https://www.sbs.com.au/news/article/coalition-will-match-labors-200-million-telehealth-expansion/pauflrjph</t>
  </si>
  <si>
    <t>https://web.archive.org/web/20250503130549/https://www.liberal.org.au/policy/our-plan-for-practical-action-for-indigenous-australians</t>
  </si>
  <si>
    <t>https://www.facebook.com/HenryPikeMP/posts/pfbid0Tj2Y8H8YeBD9uBStRHZaVmT8CRHZ22Z8waW88YqD5944BqVABpa68TB2Sq63FHfnl?rdid=UOM23swD31hYMW09</t>
  </si>
  <si>
    <t>https://web.archive.org/web/20250503130605/https://www.liberal.org.au/policy/our-plan-to-return-australia-to-a-top-10-education-nation</t>
  </si>
  <si>
    <t>https://web.archive.org/web/20250503023749/https://www.liberal.org.au/policy/our-plan-to-return-australia-to-a-top-10-education-nation</t>
  </si>
  <si>
    <t>https://web.archive.org/web/20250503161009/https://www.nationals.org.au/news-posts/more-gps-for-families-in-regional-australia-under-a-coalition-government</t>
  </si>
  <si>
    <t>https://web.archive.org/web/20250401170258/https://peterdutton.com.au/dutton-ruston-media-release-coalition-commitment-to-support-maddie-riewoldts-vision-mrv/</t>
  </si>
  <si>
    <t>https://web.archive.org/web/20250428011902/https://www.liberal.org.au/2025/03/28/the-coalition-will-deliver-a-world-leading-focus-on-youth-mental-health</t>
  </si>
  <si>
    <t>https://web.archive.org/web/20250331093009/https://peterdutton.com.au/dutton-littleproud-duniam-media-release-coalition-to-fund-new-10-million-bom-radar-in-central-queensland/</t>
  </si>
  <si>
    <t>https://web.archive.org/web/20250414235220/https://peterdutton.com.au/dutton-price-liddle-bayliss-media-release-coalition-commits-to-deliver-careflight-plane-to-service-the-top-end/</t>
  </si>
  <si>
    <t>https://www.facebook.com/JacintaNPrice/posts/great-to-have-my-colleague-senator-anne-ruston-in-the-nt-today-to-announce-some-/1215810256571789/</t>
  </si>
  <si>
    <t>https://webarchive.nla.gov.au/awa/20250224040950/https://www.liberal.org.au/health-facts</t>
  </si>
  <si>
    <t>https://web.archive.org/web/20250408073232/https://sarahhenderson.com.au/dutton-government-to-kickstart-kids-literacy-with-3-8-million-ready-to-read-program/</t>
  </si>
  <si>
    <t>https://web.archive.org/web/20250428010530/https://www.nationals.org.au/news-posts/more-gps-for-families-in-regional-australia-under-a-coalition-government</t>
  </si>
  <si>
    <t>https://web.archive.org/web/20250415001523/https://peterdutton.com.au/dutton-ruston-joint-media-release-coalition-will-restore-funding-for-crucial-suicide-prevention-research/</t>
  </si>
  <si>
    <t>https://webarchive.nla.gov.au/awa/20250502003728/https://www.liberal.org.au/our-plan</t>
  </si>
  <si>
    <t>https://web.archive.org/web/20250324040741/https://peterdutton.com.au/dutton-henderson-wood-media-release-coalition-commitment-to-deliver-australias-first-hindu-school/</t>
  </si>
  <si>
    <t>Creative Australia – redirect towards Melbourne Jewish Arts Quarter and supporting broadcasting</t>
  </si>
  <si>
    <t>National Higher Education Code to prevent and respond to anti-Semitism</t>
  </si>
  <si>
    <t>National leadership on knife and youth crime</t>
  </si>
  <si>
    <t>New Drug Enforcement Taskforce with states and territories</t>
  </si>
  <si>
    <t>Oceans IQ – supporting marine education</t>
  </si>
  <si>
    <t>Official Development Assistance – efficiencies (excluding the Pacific, Indonesia and Timor-Leste)</t>
  </si>
  <si>
    <t>OzFish – supporting habitat restoration</t>
  </si>
  <si>
    <t>Recycling mobile phones to assist victims of domestic violence</t>
  </si>
  <si>
    <t>Redtails Pinktails Right Tracks program</t>
  </si>
  <si>
    <t>Royal Commission into Sexual Abuse in Indigenous Communities</t>
  </si>
  <si>
    <t>Safety net for family and domestic violence helpline – support</t>
  </si>
  <si>
    <t>Unmarked War Graves Grants Program</t>
  </si>
  <si>
    <t>International Climate Step Up - redirect</t>
  </si>
  <si>
    <t>Junior Minerals Exploration Incentive</t>
  </si>
  <si>
    <t>Increase total funding available through the Australian Infrastructure Financing Facility for the Pacific</t>
  </si>
  <si>
    <t>Build to Rent Tax Changes – reverse</t>
  </si>
  <si>
    <t>Increase selected non-student visa charges</t>
  </si>
  <si>
    <t>Modify Commonwealth Prac Payments</t>
  </si>
  <si>
    <t>New overseas student commencements – reduction</t>
  </si>
  <si>
    <t>Permanent migration program – reduction</t>
  </si>
  <si>
    <t>https://web.archive.org/web/20250503125253/https://www.liberal.org.au/2025/04/30/coalition-to-boost-infrastructure-financing-to-pacific-and-timor-leste</t>
  </si>
  <si>
    <t>https://webarchive.nla.gov.au/awa/20250411023443/https://peterdutton.com.au/dutton-ley-sukkar-henderson-tehan-media-release-coalitions-plan-to-tackle-labors-housing-crisis/</t>
  </si>
  <si>
    <t>https://web.archive.org/web/20250513233012/https://www.liberal.org.au/our-plan/affordable-housing</t>
  </si>
  <si>
    <t>Reducing the APS to a sustainable level over time through natural attrition</t>
  </si>
  <si>
    <t>Tax on unrealised capital gains – do not proceed</t>
  </si>
  <si>
    <t>https://webarchive.nla.gov.au/awa/20250424060324/https://www.abc.net.au/news/2025-04-24/dutton-confirms-public-service-cuts-limited-to-canberra/105211946</t>
  </si>
  <si>
    <t>Two tiered Student Visa application charge</t>
  </si>
  <si>
    <t>https://webarchive.nla.gov.au/awa/20250410072752/https://www.liberal.org.au/policy/our-plan-to-deliver-australian-gas-for-australians</t>
  </si>
  <si>
    <t>nfp</t>
  </si>
  <si>
    <t>A stronger economy with lower inflation – subtotal</t>
  </si>
  <si>
    <t>Cheaper and more reliable energy – subtotal</t>
  </si>
  <si>
    <t>Affordable homes, better skills, and reliable infrastructure – subtotal</t>
  </si>
  <si>
    <t>A stronger Australia with safe, sustainable, and connected communities – subtotal</t>
  </si>
  <si>
    <t>Guaranteed quality healthcare and essential services – subtotal</t>
  </si>
  <si>
    <t>Additional commitments identified by the Parliamentary Budget Office (PBO) – subtotal</t>
  </si>
  <si>
    <t>ECR-2025-2009</t>
  </si>
  <si>
    <r>
      <t xml:space="preserve">Table 1A: Detailed budget impacts of election commitments, $ million, the Coalition, medium term, underlying cash balance </t>
    </r>
    <r>
      <rPr>
        <b/>
        <vertAlign val="superscript"/>
        <sz val="12"/>
        <color theme="1"/>
        <rFont val="Calibri"/>
        <family val="2"/>
        <scheme val="minor"/>
      </rPr>
      <t>1</t>
    </r>
  </si>
  <si>
    <r>
      <t xml:space="preserve">Table 1B: Detailed budget impacts of election commitments, $ million, the Coalition, medium term, fiscal balance </t>
    </r>
    <r>
      <rPr>
        <b/>
        <vertAlign val="superscript"/>
        <sz val="12"/>
        <color theme="1"/>
        <rFont val="Calibri"/>
        <family val="2"/>
        <scheme val="minor"/>
      </rPr>
      <t>1</t>
    </r>
  </si>
  <si>
    <r>
      <t xml:space="preserve">Table 1C: Detailed budget impacts of election commitments, $ million, the Coalition, medium term, headline cash balance </t>
    </r>
    <r>
      <rPr>
        <b/>
        <vertAlign val="superscript"/>
        <sz val="12"/>
        <color theme="1"/>
        <rFont val="Calibri"/>
        <family val="2"/>
        <scheme val="minor"/>
      </rPr>
      <t>1</t>
    </r>
  </si>
  <si>
    <r>
      <t xml:space="preserve">Table 2A: Underlying cash balance (UCB), the Coalition, medium term </t>
    </r>
    <r>
      <rPr>
        <b/>
        <vertAlign val="superscript"/>
        <sz val="12"/>
        <color theme="1"/>
        <rFont val="Calibri"/>
        <family val="2"/>
        <scheme val="minor"/>
      </rPr>
      <t>1</t>
    </r>
  </si>
  <si>
    <r>
      <t xml:space="preserve">Table 2B: Fiscal balance (FB), the Coalition, medium term </t>
    </r>
    <r>
      <rPr>
        <b/>
        <vertAlign val="superscript"/>
        <sz val="12"/>
        <color theme="1"/>
        <rFont val="Calibri"/>
        <family val="2"/>
        <scheme val="minor"/>
      </rPr>
      <t>1</t>
    </r>
  </si>
  <si>
    <r>
      <t xml:space="preserve">Table 2C: Headline cash balance (HCB), the Coalition, medium term </t>
    </r>
    <r>
      <rPr>
        <b/>
        <vertAlign val="superscript"/>
        <sz val="12"/>
        <color theme="1"/>
        <rFont val="Calibri"/>
        <family val="2"/>
        <scheme val="minor"/>
      </rPr>
      <t>1</t>
    </r>
  </si>
  <si>
    <t>Announced commitments to establish a civil nuclear program including operating nuclear power plants in 7 locations across the country</t>
  </si>
  <si>
    <r>
      <rPr>
        <vertAlign val="superscript"/>
        <sz val="9"/>
        <color theme="1" tint="0.499984740745262"/>
        <rFont val="Calibri"/>
        <family val="2"/>
        <scheme val="minor"/>
      </rPr>
      <t>2</t>
    </r>
    <r>
      <rPr>
        <sz val="9"/>
        <color theme="1" tint="0.499984740745262"/>
        <rFont val="Calibri"/>
        <family val="2"/>
        <scheme val="minor"/>
      </rPr>
      <t xml:space="preserve"> Commitment was assessed as having a nil impact on the budget and does not have a costing minute.</t>
    </r>
  </si>
  <si>
    <r>
      <t xml:space="preserve">Accurate labelling for plant-based meat products </t>
    </r>
    <r>
      <rPr>
        <vertAlign val="superscript"/>
        <sz val="9"/>
        <color theme="1"/>
        <rFont val="Calibri"/>
        <family val="2"/>
        <scheme val="minor"/>
      </rPr>
      <t>2</t>
    </r>
  </si>
  <si>
    <r>
      <t xml:space="preserve">Establishing Investment Australia </t>
    </r>
    <r>
      <rPr>
        <vertAlign val="superscript"/>
        <sz val="9"/>
        <color theme="1"/>
        <rFont val="Calibri"/>
        <family val="2"/>
        <scheme val="minor"/>
      </rPr>
      <t>2</t>
    </r>
  </si>
  <si>
    <r>
      <t xml:space="preserve">Real-time vector surveillance capability to detect Lumpy Skin Disease technology – pilot </t>
    </r>
    <r>
      <rPr>
        <vertAlign val="superscript"/>
        <sz val="9"/>
        <color theme="1"/>
        <rFont val="Calibri"/>
        <family val="2"/>
        <scheme val="minor"/>
      </rPr>
      <t>2</t>
    </r>
  </si>
  <si>
    <r>
      <t xml:space="preserve">Regional Agricultural Shows Development Grant program </t>
    </r>
    <r>
      <rPr>
        <vertAlign val="superscript"/>
        <sz val="9"/>
        <color theme="1"/>
        <rFont val="Calibri"/>
        <family val="2"/>
        <scheme val="minor"/>
      </rPr>
      <t>2</t>
    </r>
  </si>
  <si>
    <r>
      <t xml:space="preserve">Review of Operation LUNAR and related biosecurity activities </t>
    </r>
    <r>
      <rPr>
        <vertAlign val="superscript"/>
        <sz val="9"/>
        <color theme="1"/>
        <rFont val="Calibri"/>
        <family val="2"/>
        <scheme val="minor"/>
      </rPr>
      <t>2</t>
    </r>
  </si>
  <si>
    <r>
      <t xml:space="preserve">Review of Pacific Australia Labour Mobility Scheme </t>
    </r>
    <r>
      <rPr>
        <vertAlign val="superscript"/>
        <sz val="9"/>
        <color theme="1"/>
        <rFont val="Calibri"/>
        <family val="2"/>
        <scheme val="minor"/>
      </rPr>
      <t>2</t>
    </r>
  </si>
  <si>
    <r>
      <t xml:space="preserve">Developing Our Cities White Paper </t>
    </r>
    <r>
      <rPr>
        <vertAlign val="superscript"/>
        <sz val="9"/>
        <color theme="1"/>
        <rFont val="Calibri"/>
        <family val="2"/>
        <scheme val="minor"/>
      </rPr>
      <t>2</t>
    </r>
  </si>
  <si>
    <r>
      <t xml:space="preserve">Two year ban on foreign investors and temporary residents buying existing homes </t>
    </r>
    <r>
      <rPr>
        <vertAlign val="superscript"/>
        <sz val="9"/>
        <color theme="1"/>
        <rFont val="Calibri"/>
        <family val="2"/>
        <scheme val="minor"/>
      </rPr>
      <t>2</t>
    </r>
  </si>
  <si>
    <r>
      <t xml:space="preserve">Anti-Semitism specialist at National Student Ombudsman </t>
    </r>
    <r>
      <rPr>
        <vertAlign val="superscript"/>
        <sz val="9"/>
        <color theme="1"/>
        <rFont val="Calibri"/>
        <family val="2"/>
        <scheme val="minor"/>
      </rPr>
      <t>2</t>
    </r>
  </si>
  <si>
    <r>
      <t xml:space="preserve">Commonwealth systems changes to address financial abuse and coercion </t>
    </r>
    <r>
      <rPr>
        <vertAlign val="superscript"/>
        <sz val="9"/>
        <color theme="1"/>
        <rFont val="Calibri"/>
        <family val="2"/>
        <scheme val="minor"/>
      </rPr>
      <t>2</t>
    </r>
  </si>
  <si>
    <r>
      <t xml:space="preserve">Establish a Special Envoy for Hostage Affairs </t>
    </r>
    <r>
      <rPr>
        <vertAlign val="superscript"/>
        <sz val="9"/>
        <color theme="1"/>
        <rFont val="Calibri"/>
        <family val="2"/>
        <scheme val="minor"/>
      </rPr>
      <t>2</t>
    </r>
  </si>
  <si>
    <r>
      <t xml:space="preserve">Farm Safety </t>
    </r>
    <r>
      <rPr>
        <vertAlign val="superscript"/>
        <sz val="9"/>
        <color theme="1"/>
        <rFont val="Calibri"/>
        <family val="2"/>
        <scheme val="minor"/>
      </rPr>
      <t>2</t>
    </r>
  </si>
  <si>
    <r>
      <t xml:space="preserve">Kokoda Track Memorial Walkway </t>
    </r>
    <r>
      <rPr>
        <vertAlign val="superscript"/>
        <sz val="9"/>
        <color theme="1"/>
        <rFont val="Calibri"/>
        <family val="2"/>
        <scheme val="minor"/>
      </rPr>
      <t>2</t>
    </r>
  </si>
  <si>
    <r>
      <t xml:space="preserve">New criminal offences associated with construction sector lawlessness </t>
    </r>
    <r>
      <rPr>
        <vertAlign val="superscript"/>
        <sz val="9"/>
        <color theme="1"/>
        <rFont val="Calibri"/>
        <family val="2"/>
        <scheme val="minor"/>
      </rPr>
      <t>2</t>
    </r>
  </si>
  <si>
    <r>
      <t xml:space="preserve">No fault Investigations – pilot </t>
    </r>
    <r>
      <rPr>
        <vertAlign val="superscript"/>
        <sz val="9"/>
        <color theme="1"/>
        <rFont val="Calibri"/>
        <family val="2"/>
        <scheme val="minor"/>
      </rPr>
      <t>2</t>
    </r>
  </si>
  <si>
    <r>
      <t xml:space="preserve">Sculpture by the Sea – Cottesloe </t>
    </r>
    <r>
      <rPr>
        <vertAlign val="superscript"/>
        <sz val="9"/>
        <color theme="1"/>
        <rFont val="Calibri"/>
        <family val="2"/>
        <scheme val="minor"/>
      </rPr>
      <t>2</t>
    </r>
  </si>
  <si>
    <r>
      <t xml:space="preserve">Implementing a National Behaviour Survey in School </t>
    </r>
    <r>
      <rPr>
        <vertAlign val="superscript"/>
        <sz val="9"/>
        <color theme="1"/>
        <rFont val="Calibri"/>
        <family val="2"/>
        <scheme val="minor"/>
      </rPr>
      <t>2</t>
    </r>
  </si>
  <si>
    <r>
      <t xml:space="preserve">Rural Health Commissioner Funding for a regional health strategy </t>
    </r>
    <r>
      <rPr>
        <vertAlign val="superscript"/>
        <sz val="9"/>
        <color theme="1"/>
        <rFont val="Calibri"/>
        <family val="2"/>
        <scheme val="minor"/>
      </rPr>
      <t>2</t>
    </r>
  </si>
  <si>
    <r>
      <t xml:space="preserve">Skills in School Strategy </t>
    </r>
    <r>
      <rPr>
        <vertAlign val="superscript"/>
        <sz val="9"/>
        <color theme="1"/>
        <rFont val="Calibri"/>
        <family val="2"/>
        <scheme val="minor"/>
      </rPr>
      <t>2</t>
    </r>
  </si>
  <si>
    <r>
      <t xml:space="preserve">Teacher Training Accreditation Board </t>
    </r>
    <r>
      <rPr>
        <vertAlign val="superscript"/>
        <sz val="9"/>
        <color theme="1"/>
        <rFont val="Calibri"/>
        <family val="2"/>
        <scheme val="minor"/>
      </rPr>
      <t>2</t>
    </r>
  </si>
  <si>
    <r>
      <t xml:space="preserve">Establish taskforce to develop a Foreign Investment Review Board (FIRB) Fast Track </t>
    </r>
    <r>
      <rPr>
        <vertAlign val="superscript"/>
        <sz val="9"/>
        <color theme="1"/>
        <rFont val="Calibri"/>
        <family val="2"/>
        <scheme val="minor"/>
      </rPr>
      <t>2</t>
    </r>
  </si>
  <si>
    <t>Adjust fuel excise – 25c per litre reduction</t>
  </si>
  <si>
    <r>
      <t xml:space="preserve">Country of origin labelling – supporting the seafood industry </t>
    </r>
    <r>
      <rPr>
        <vertAlign val="superscript"/>
        <sz val="9"/>
        <color theme="1"/>
        <rFont val="Calibri"/>
        <family val="2"/>
        <scheme val="minor"/>
      </rPr>
      <t>2</t>
    </r>
  </si>
  <si>
    <r>
      <t xml:space="preserve">Country of origin labelling scheme for timber – introduction </t>
    </r>
    <r>
      <rPr>
        <vertAlign val="superscript"/>
        <sz val="9"/>
        <color theme="1"/>
        <rFont val="Calibri"/>
        <family val="2"/>
        <scheme val="minor"/>
      </rPr>
      <t>2</t>
    </r>
  </si>
  <si>
    <t>Early‑stage venture capital cap and venture capital cap – increase and index</t>
  </si>
  <si>
    <t>Entrepreneurship Accelerator Tax Incentive</t>
  </si>
  <si>
    <t>Meat – poultry – contractual fairness</t>
  </si>
  <si>
    <t>Prioritise agricultural programs – Renewed Australian Animal Welfare Strategy</t>
  </si>
  <si>
    <t>Red imported fire ant national response - independent review</t>
  </si>
  <si>
    <t>Regional tourism grants</t>
  </si>
  <si>
    <t>Repeal ban on live sheep export by sea</t>
  </si>
  <si>
    <t>Tax breaks for electric vehicle – reverse</t>
  </si>
  <si>
    <t>Agricultural and mining roads program</t>
  </si>
  <si>
    <t>Establishing 12 new australian technical colleges</t>
  </si>
  <si>
    <t>Fee free TAFE – redirect</t>
  </si>
  <si>
    <t>Tradie and trainee booster apprentice and trainee hiring incentive</t>
  </si>
  <si>
    <t>Adass Israel Synagogue rebuild</t>
  </si>
  <si>
    <t>Community language schools – support</t>
  </si>
  <si>
    <t>Domestic violence community training grant program</t>
  </si>
  <si>
    <t>Extend Domestic, Family and Sexual Violence Commission’s terms of reference</t>
  </si>
  <si>
    <t>Headstone Project – deductible gift recipient status</t>
  </si>
  <si>
    <t>Increase defence spending – including investing in a fourth F-35A Lightning Squadron</t>
  </si>
  <si>
    <t>Overseas eligibility for social services payments – reduce to 4 weeks</t>
  </si>
  <si>
    <t>Sustainable funding for Crime Stoppers</t>
  </si>
  <si>
    <t>Age and veterans service pension work bonus – double</t>
  </si>
  <si>
    <r>
      <t xml:space="preserve">Audit of Indigenous expenditure </t>
    </r>
    <r>
      <rPr>
        <vertAlign val="superscript"/>
        <sz val="9"/>
        <color theme="1"/>
        <rFont val="Calibri"/>
        <family val="2"/>
        <scheme val="minor"/>
      </rPr>
      <t>2</t>
    </r>
  </si>
  <si>
    <t>Childcare – restoring the activity test</t>
  </si>
  <si>
    <t>Community Childcare Fund for regional Australia</t>
  </si>
  <si>
    <r>
      <t xml:space="preserve">Farmer mental health package </t>
    </r>
    <r>
      <rPr>
        <vertAlign val="superscript"/>
        <sz val="9"/>
        <color theme="1"/>
        <rFont val="Calibri"/>
        <family val="2"/>
        <scheme val="minor"/>
      </rPr>
      <t>2</t>
    </r>
  </si>
  <si>
    <t>New BOM radar in Central Queensland</t>
  </si>
  <si>
    <t>New health and engineering wing for CQUniversity</t>
  </si>
  <si>
    <t>Outcomes-based Indigenous health delivery – CareFlight investment</t>
  </si>
  <si>
    <t>Outcomes-based Indigenous health delivery – Tresillian Family Care Centre</t>
  </si>
  <si>
    <t>Specialised care subsidy – AEIOU Foundation</t>
  </si>
  <si>
    <t>Supporting community healthcare</t>
  </si>
  <si>
    <t>Supporting the First Hindu Faith school in Australia</t>
  </si>
  <si>
    <t>High quality Graduate Diplomas of Education</t>
  </si>
  <si>
    <t>Student Visa work hours – increase</t>
  </si>
  <si>
    <t>% of GDP</t>
  </si>
  <si>
    <r>
      <t xml:space="preserve">Student HELP changes – not proceeding </t>
    </r>
    <r>
      <rPr>
        <vertAlign val="superscript"/>
        <sz val="9"/>
        <color theme="1"/>
        <rFont val="Calibri"/>
        <family val="2"/>
      </rPr>
      <t>3</t>
    </r>
  </si>
  <si>
    <r>
      <rPr>
        <vertAlign val="superscript"/>
        <sz val="9"/>
        <color theme="1" tint="0.499984740745262"/>
        <rFont val="Calibri"/>
        <family val="2"/>
        <scheme val="minor"/>
      </rPr>
      <t>3</t>
    </r>
    <r>
      <rPr>
        <sz val="9"/>
        <color theme="1" tint="0.499984740745262"/>
        <rFont val="Calibri"/>
        <family val="2"/>
        <scheme val="minor"/>
      </rPr>
      <t xml:space="preserve"> This commitment includes an impact of $10.7 billion in 2024-25. Consequently, the totals to 2028-29 and 2035-36 are not equal to the sums of individual years included in this table.</t>
    </r>
  </si>
  <si>
    <t>= B + C</t>
  </si>
  <si>
    <t>= A + D</t>
  </si>
  <si>
    <r>
      <rPr>
        <vertAlign val="superscript"/>
        <sz val="9"/>
        <color theme="1" tint="0.499984740745262"/>
        <rFont val="Calibri"/>
        <family val="2"/>
      </rPr>
      <t>4</t>
    </r>
    <r>
      <rPr>
        <sz val="9"/>
        <color theme="1" tint="0.499984740745262"/>
        <rFont val="Calibri"/>
        <family val="2"/>
        <scheme val="minor"/>
      </rPr>
      <t xml:space="preserve"> This commitment covers the budget impacts of the 4 elements relating to establishing nuclear power identified in the Coalition’s election platform, as well as the headline equity investment. More information is available in the relevant costing minute.</t>
    </r>
  </si>
  <si>
    <r>
      <t>= ΣPBO costed receipts + Table 2A (C - C</t>
    </r>
    <r>
      <rPr>
        <b/>
        <vertAlign val="subscript"/>
        <sz val="9"/>
        <color theme="1"/>
        <rFont val="Calibri"/>
        <family val="2"/>
        <scheme val="minor"/>
      </rPr>
      <t>PDI</t>
    </r>
    <r>
      <rPr>
        <b/>
        <sz val="9"/>
        <color theme="1"/>
        <rFont val="Calibri"/>
        <family val="2"/>
        <scheme val="minor"/>
      </rPr>
      <t>)</t>
    </r>
  </si>
  <si>
    <r>
      <t>= ΣPBO costed PDI + Table 2A (C</t>
    </r>
    <r>
      <rPr>
        <b/>
        <vertAlign val="subscript"/>
        <sz val="9"/>
        <color theme="1"/>
        <rFont val="Calibri"/>
        <family val="2"/>
        <scheme val="minor"/>
      </rPr>
      <t>PDI</t>
    </r>
    <r>
      <rPr>
        <b/>
        <sz val="9"/>
        <color theme="1"/>
        <rFont val="Calibri"/>
        <family val="2"/>
        <scheme val="minor"/>
      </rPr>
      <t>)</t>
    </r>
  </si>
  <si>
    <t>= D from Table 2A = E + F + G</t>
  </si>
  <si>
    <t>= E from Table 2A = D + H = I + J + K</t>
  </si>
  <si>
    <r>
      <t>= ΣPBO costed revenue + Table 2B (C - C</t>
    </r>
    <r>
      <rPr>
        <b/>
        <vertAlign val="subscript"/>
        <sz val="9"/>
        <color theme="1"/>
        <rFont val="Calibri"/>
        <family val="2"/>
        <scheme val="minor"/>
      </rPr>
      <t>PDI</t>
    </r>
    <r>
      <rPr>
        <b/>
        <sz val="9"/>
        <color theme="1"/>
        <rFont val="Calibri"/>
        <family val="2"/>
        <scheme val="minor"/>
      </rPr>
      <t>)</t>
    </r>
  </si>
  <si>
    <r>
      <t>= ΣPBO costed PDI + Table 2B (C</t>
    </r>
    <r>
      <rPr>
        <b/>
        <vertAlign val="subscript"/>
        <sz val="9"/>
        <color theme="1"/>
        <rFont val="Calibri"/>
        <family val="2"/>
        <scheme val="minor"/>
      </rPr>
      <t>PDI</t>
    </r>
    <r>
      <rPr>
        <b/>
        <sz val="9"/>
        <color theme="1"/>
        <rFont val="Calibri"/>
        <family val="2"/>
        <scheme val="minor"/>
      </rPr>
      <t>)</t>
    </r>
  </si>
  <si>
    <t>= D from Table 2B = E + F + G</t>
  </si>
  <si>
    <t>= E from Table 2B = D + H = I + J + K</t>
  </si>
  <si>
    <t>-</t>
  </si>
  <si>
    <r>
      <t xml:space="preserve">Net impact of election commitments ($b) </t>
    </r>
    <r>
      <rPr>
        <b/>
        <vertAlign val="superscript"/>
        <sz val="9"/>
        <rFont val="Calibri"/>
        <family val="2"/>
        <scheme val="minor"/>
      </rPr>
      <t>3</t>
    </r>
  </si>
  <si>
    <r>
      <rPr>
        <vertAlign val="superscript"/>
        <sz val="9"/>
        <color theme="1" tint="0.499984740745262"/>
        <rFont val="Calibri"/>
        <family val="2"/>
        <scheme val="minor"/>
      </rPr>
      <t>3</t>
    </r>
    <r>
      <rPr>
        <sz val="9"/>
        <color theme="1" tint="0.499984740745262"/>
        <rFont val="Calibri"/>
        <family val="2"/>
        <scheme val="minor"/>
      </rPr>
      <t xml:space="preserve"> Includes tax cap adjustments and any resulting PDI impacts from the tax cap.</t>
    </r>
  </si>
  <si>
    <r>
      <rPr>
        <vertAlign val="superscript"/>
        <sz val="9"/>
        <color theme="1" tint="0.499984740745262"/>
        <rFont val="Calibri"/>
        <family val="2"/>
        <scheme val="minor"/>
      </rPr>
      <t>3</t>
    </r>
    <r>
      <rPr>
        <sz val="9"/>
        <color theme="1" tint="0.499984740745262"/>
        <rFont val="Calibri"/>
        <family val="2"/>
        <scheme val="minor"/>
      </rPr>
      <t xml:space="preserve"> This commitment includes an impact of $187.8 million in 2024-25. Consequently, the totals to 2028-29 and 2035-36 are not equal to the sums of individual years included in this table.</t>
    </r>
  </si>
  <si>
    <r>
      <rPr>
        <vertAlign val="superscript"/>
        <sz val="9"/>
        <color theme="1" tint="0.499984740745262"/>
        <rFont val="Calibri"/>
        <family val="2"/>
        <scheme val="minor"/>
      </rPr>
      <t xml:space="preserve">4 </t>
    </r>
    <r>
      <rPr>
        <sz val="9"/>
        <color theme="1" tint="0.499984740745262"/>
        <rFont val="Calibri"/>
        <family val="2"/>
        <scheme val="minor"/>
      </rPr>
      <t>This commitment covers the budget impacts of the 4 elements relating to establishing nuclear power identified in the Coalition’s election platform, as well as the headline equity investment. More information is available in the relevant costing minute.</t>
    </r>
  </si>
  <si>
    <r>
      <rPr>
        <vertAlign val="superscript"/>
        <sz val="9"/>
        <color theme="1" tint="0.499984740745262"/>
        <rFont val="Calibri"/>
        <family val="2"/>
        <scheme val="minor"/>
      </rPr>
      <t>3</t>
    </r>
    <r>
      <rPr>
        <sz val="9"/>
        <color theme="1" tint="0.499984740745262"/>
        <rFont val="Calibri"/>
        <family val="2"/>
        <scheme val="minor"/>
      </rPr>
      <t xml:space="preserve"> This commitment includes an impact of $697.8 million in 2024-25. Consequently, the totals to 2028-29 and 2035-36 are not equal to the sums of individual years included in this table.</t>
    </r>
  </si>
  <si>
    <r>
      <t xml:space="preserve">Student HELP changes – not proceeding </t>
    </r>
    <r>
      <rPr>
        <vertAlign val="superscript"/>
        <sz val="9"/>
        <color theme="1"/>
        <rFont val="Calibri"/>
        <family val="2"/>
        <scheme val="minor"/>
      </rPr>
      <t>3</t>
    </r>
  </si>
  <si>
    <r>
      <t xml:space="preserve">Table 4A: Reconciliation of ECR platform impacts with platform impacts as published by the Coalition, underlying cash balance, forward estimates </t>
    </r>
    <r>
      <rPr>
        <b/>
        <vertAlign val="superscript"/>
        <sz val="12"/>
        <color theme="1"/>
        <rFont val="Calibri"/>
        <family val="2"/>
        <scheme val="minor"/>
      </rPr>
      <t>1</t>
    </r>
  </si>
  <si>
    <t>2025-26</t>
  </si>
  <si>
    <t>PEFO Nominal GDP ($b)</t>
  </si>
  <si>
    <r>
      <t xml:space="preserve">Party list - Total impact of election commitments (incl PDI) </t>
    </r>
    <r>
      <rPr>
        <b/>
        <vertAlign val="superscript"/>
        <sz val="9"/>
        <rFont val="Calibri"/>
        <family val="2"/>
        <scheme val="minor"/>
      </rPr>
      <t>2</t>
    </r>
    <r>
      <rPr>
        <b/>
        <sz val="9"/>
        <rFont val="Calibri"/>
        <family val="2"/>
        <scheme val="minor"/>
      </rPr>
      <t xml:space="preserve"> ($b)</t>
    </r>
  </si>
  <si>
    <t>PBO - Total impact of election commitments (incl PDI) (Table 1A) ($b)</t>
  </si>
  <si>
    <t>Difference ($b)</t>
  </si>
  <si>
    <r>
      <rPr>
        <vertAlign val="superscript"/>
        <sz val="9"/>
        <color theme="1" tint="0.499984740745262"/>
        <rFont val="Calibri"/>
        <family val="2"/>
        <scheme val="minor"/>
      </rPr>
      <t>1</t>
    </r>
    <r>
      <rPr>
        <sz val="9"/>
        <color theme="1" tint="0.499984740745262"/>
        <rFont val="Calibri"/>
        <family val="2"/>
        <scheme val="minor"/>
      </rPr>
      <t xml:space="preserve"> Values are shown over the forward estimates in both dollar figures and as a percentage of GDP. </t>
    </r>
  </si>
  <si>
    <r>
      <rPr>
        <vertAlign val="superscript"/>
        <sz val="9"/>
        <color theme="1" tint="0.499984740745262"/>
        <rFont val="Calibri"/>
        <family val="2"/>
        <scheme val="minor"/>
      </rPr>
      <t>2</t>
    </r>
    <r>
      <rPr>
        <sz val="9"/>
        <color theme="1" tint="0.499984740745262"/>
        <rFont val="Calibri"/>
        <family val="2"/>
        <scheme val="minor"/>
      </rPr>
      <t xml:space="preserve"> Source: https://webarchive.nla.gov.au/awa/20250501142142/https://www.liberal.org.au/policy/our-plan-for-a-sustainable-budget</t>
    </r>
  </si>
  <si>
    <t>Table 4B:  Reconciliation of ECR commitments with the Coalition, detailed</t>
  </si>
  <si>
    <t>Number of commitments</t>
  </si>
  <si>
    <t>Underlying cash balance impact over forward estimates ($ billion)</t>
  </si>
  <si>
    <t>Commitments listed by party</t>
  </si>
  <si>
    <t>Commitments excluded by the PBO</t>
  </si>
  <si>
    <t>Commitments determined to not have material implications</t>
  </si>
  <si>
    <t>Nil</t>
  </si>
  <si>
    <t>Skills in School Strategy (ECR-2025-2497)</t>
  </si>
  <si>
    <r>
      <t>Commitments determined to be sub‑components of other commitments</t>
    </r>
    <r>
      <rPr>
        <b/>
        <i/>
        <vertAlign val="superscript"/>
        <sz val="9"/>
        <color rgb="FF000000"/>
        <rFont val="Calibri"/>
        <family val="2"/>
        <scheme val="minor"/>
      </rPr>
      <t>(a)</t>
    </r>
  </si>
  <si>
    <t>Affordable Energy Australia – establishment and capitalisation</t>
  </si>
  <si>
    <t>AUKUS National Chair</t>
  </si>
  <si>
    <t>Australian Radiation Protection and Nuclear Safety Agency – boost capabilities</t>
  </si>
  <si>
    <t>Community engagement on zero emissions nuclear technology</t>
  </si>
  <si>
    <t>Defence Capability and Acquisition Commission</t>
  </si>
  <si>
    <t>National Security Strategy</t>
  </si>
  <si>
    <t>Nuclear Energy Coordinating Authority and National Nuclear Training Facility and fuel laboratory</t>
  </si>
  <si>
    <t xml:space="preserve">Commitments determined to be already accounted for in the 2025 PEFO </t>
  </si>
  <si>
    <t>Australian Made Export Initiative</t>
  </si>
  <si>
    <t>Cairns Water Security Project - Stage 1</t>
  </si>
  <si>
    <t>Develop the Greater South East Irrigation Scheme - Tasmania</t>
  </si>
  <si>
    <t>Additional commitments identified by the PBO</t>
  </si>
  <si>
    <t>Deliver a National Gas Plan – additional components (ECR-2025-2506)</t>
  </si>
  <si>
    <t>Deliver a National Gas Plan – east coast gas reservation (ECR-2025-2487)</t>
  </si>
  <si>
    <t>Deliver a National Gas Plan – halve environmental approval timelines and reform offshore gas regulations (ECR-2025-2390)</t>
  </si>
  <si>
    <t>Deliver a National Gas Plan – implement consistent reporting requirements across the east coast gas market (ECR-2025-2176)</t>
  </si>
  <si>
    <t>Deliver a National Gas Plan – introduce a gas security incentive (ECR-2025-2363)</t>
  </si>
  <si>
    <t>Deliver a National Gas Plan – reinstate annual acreage releases for offshore oil and gas exploration (ECR-2025-2398)</t>
  </si>
  <si>
    <t>Deliver a National Gas Plan – strengthen the Australian Domestic Gas Security Mechanism (ECR-2025-2804)</t>
  </si>
  <si>
    <t>Establish a Supermarket Commissioner (ECR-2025-2573)</t>
  </si>
  <si>
    <t>Establish taskforce to develop a Foreign Investment Review Board (FIRB) Fast Track (ECR-2025-2700)</t>
  </si>
  <si>
    <t>Future Generations Fund and Regional Australia Future Fund (ECR-2025-2651)</t>
  </si>
  <si>
    <t>Halt further water buybacks currently included in the budget (ECR-2025-2333)</t>
  </si>
  <si>
    <t>Increase total funding available through the Australian Infrastructure Financing Facility for the Pacific (ECR-2025-2074)</t>
  </si>
  <si>
    <t>Introduce a digital alternative to cash with no surcharge (ECR-2025-2856)</t>
  </si>
  <si>
    <t>Maintain Australian Border Force presence at Hobart Airport (ECR-2025-2200)</t>
  </si>
  <si>
    <t>Reinstate the 50 per cent pass mark required for HECS-HELP loans (ECR-2025-2764)</t>
  </si>
  <si>
    <t>Reinstate the 80:20 federal funding model for nationally significant road projects in regional and remote Australia (ECR-2025-2612)</t>
  </si>
  <si>
    <t>PBO variations on party commitments</t>
  </si>
  <si>
    <t>n/a</t>
  </si>
  <si>
    <t>Commitments included in the Election Commitments Report</t>
  </si>
  <si>
    <t xml:space="preserve">Source: PBO analysis. </t>
  </si>
  <si>
    <r>
      <t xml:space="preserve">(a) Nuclear-related commitments </t>
    </r>
    <r>
      <rPr>
        <i/>
        <sz val="9"/>
        <color rgb="FF636161"/>
        <rFont val="Calibri"/>
        <family val="2"/>
        <scheme val="minor"/>
      </rPr>
      <t>Affordable Energy Australia – establishment and capitalisation</t>
    </r>
    <r>
      <rPr>
        <sz val="9"/>
        <color rgb="FF636161"/>
        <rFont val="Calibri"/>
        <family val="2"/>
        <scheme val="minor"/>
      </rPr>
      <t xml:space="preserve">, </t>
    </r>
    <r>
      <rPr>
        <i/>
        <sz val="9"/>
        <color rgb="FF636161"/>
        <rFont val="Calibri"/>
        <family val="2"/>
        <scheme val="minor"/>
      </rPr>
      <t>Australian Radiation Protection and Nuclear Safety Agency – boost capabilities</t>
    </r>
    <r>
      <rPr>
        <sz val="9"/>
        <color rgb="FF636161"/>
        <rFont val="Calibri"/>
        <family val="2"/>
        <scheme val="minor"/>
      </rPr>
      <t xml:space="preserve">, </t>
    </r>
    <r>
      <rPr>
        <i/>
        <sz val="9"/>
        <color rgb="FF636161"/>
        <rFont val="Calibri"/>
        <family val="2"/>
        <scheme val="minor"/>
      </rPr>
      <t>Community engagement on zero emissions nuclear technology</t>
    </r>
    <r>
      <rPr>
        <sz val="9"/>
        <color rgb="FF636161"/>
        <rFont val="Calibri"/>
        <family val="2"/>
        <scheme val="minor"/>
      </rPr>
      <t xml:space="preserve"> and </t>
    </r>
    <r>
      <rPr>
        <i/>
        <sz val="9"/>
        <color rgb="FF636161"/>
        <rFont val="Calibri"/>
        <family val="2"/>
        <scheme val="minor"/>
      </rPr>
      <t xml:space="preserve">Nuclear Energy Coordinating Authority and National Nuclear Training Facility and fuel laboratory </t>
    </r>
    <r>
      <rPr>
        <sz val="9"/>
        <color rgb="FF636161"/>
        <rFont val="Calibri"/>
        <family val="2"/>
        <scheme val="minor"/>
      </rPr>
      <t xml:space="preserve">were merged into one commitment titled </t>
    </r>
    <r>
      <rPr>
        <i/>
        <sz val="9"/>
        <color rgb="FF636161"/>
        <rFont val="Calibri"/>
        <family val="2"/>
        <scheme val="minor"/>
      </rPr>
      <t>Announced commitments to establish a civil nuclear program including operating nuclear power plants in 7 locations across the country (ECR-2025-2009)</t>
    </r>
    <r>
      <rPr>
        <sz val="9"/>
        <color rgb="FF636161"/>
        <rFont val="Calibri"/>
        <family val="2"/>
        <scheme val="minor"/>
      </rPr>
      <t>. Defence-related commitments were merged under the Coalition's broader commitment</t>
    </r>
    <r>
      <rPr>
        <i/>
        <sz val="9"/>
        <color rgb="FF636161"/>
        <rFont val="Calibri"/>
        <family val="2"/>
        <scheme val="minor"/>
      </rPr>
      <t xml:space="preserve"> Increase Defence Spending – including investing in a Fourth F-35A Lightning Squadron</t>
    </r>
    <r>
      <rPr>
        <sz val="9"/>
        <color rgb="FF636161"/>
        <rFont val="Calibri"/>
        <family val="2"/>
        <scheme val="minor"/>
      </rPr>
      <t xml:space="preserve"> (ECR-2025-2734).</t>
    </r>
  </si>
  <si>
    <t>(b) Includes a deterioration of $1.6 billion over the forward estimates due to updated PBO methodology for the Entrepreneurship Accelerator tax incentive (ECR-2025-2472).</t>
  </si>
  <si>
    <t>(c) Includes financial impacts in 2024-25. May not add to sum of rows above due to rounding.</t>
  </si>
  <si>
    <t>Underlying cash balance impacts include PDI.</t>
  </si>
  <si>
    <t>Table 5A: Commitments with absorbed departmental expenses, specified by party</t>
  </si>
  <si>
    <t>Portfolio</t>
  </si>
  <si>
    <t>Number of commitments with absorbed expenses</t>
  </si>
  <si>
    <t>Agriculture, Fisheries and Forestry</t>
  </si>
  <si>
    <t>Country of Origin labelling scheme for timber – introduction (ECR-2025-2137)</t>
  </si>
  <si>
    <t>National Food Security Strategy (ECR-2025-2566)</t>
  </si>
  <si>
    <t>Review of Operation LUNAR and related biosecurity activities (ECR-2025-2866)</t>
  </si>
  <si>
    <t>Attorney-General’s</t>
  </si>
  <si>
    <t>New criminal offences associated with construction sector lawlessness (ECR-2025-2299)</t>
  </si>
  <si>
    <t>Education</t>
  </si>
  <si>
    <t>Anti-Semitism specialist at National Student Ombudsman (ECR-2025-2234)</t>
  </si>
  <si>
    <t>Implementing a National Behaviour Survey in School (ECR-2025-2814)</t>
  </si>
  <si>
    <t>Remote Indigenous Student Success Boarding Fund (ECR-2025-2719)</t>
  </si>
  <si>
    <t>Teacher Training Accreditation Board (ECR-2025-2817)</t>
  </si>
  <si>
    <t>Foreign Affairs and Trade</t>
  </si>
  <si>
    <t>Establish a Special Envoy for Hostage Affairs (ECR-2025-2312)</t>
  </si>
  <si>
    <t>Review of Pacific Australia Labour Mobility Scheme (ECR-2025-2278)</t>
  </si>
  <si>
    <t>Health and Aged Care</t>
  </si>
  <si>
    <t>1800MEDICARE – establishment (ECR-2025-2235)</t>
  </si>
  <si>
    <t>Rural Health Commissioner Funding for a regional health strategy (ECR-2025-2703)</t>
  </si>
  <si>
    <t>Infrastructure, Transport, Regional Development, Communications and the Arts</t>
  </si>
  <si>
    <t>Developing Our Cities White Paper (ECR-2025-2602)</t>
  </si>
  <si>
    <t>Prime Minister and Cabinet</t>
  </si>
  <si>
    <t>Audit of Indigenous Expenditure (ECR-2025-2899)</t>
  </si>
  <si>
    <t>Social Services</t>
  </si>
  <si>
    <t>Commonwealth systems changes to address financial abuse and coercion (ECR-2025-2523)</t>
  </si>
  <si>
    <t>Treasury</t>
  </si>
  <si>
    <t>Establishing Investment Australia (ECR-2025-2133)</t>
  </si>
  <si>
    <t>Total</t>
  </si>
  <si>
    <t>Source: PBO analysis.</t>
  </si>
  <si>
    <t>Attorney-General's</t>
  </si>
  <si>
    <t xml:space="preserve">Climate Change, Energy, the Environment and Water </t>
  </si>
  <si>
    <t>Australian Recycling Accreditation Program (ECR-2025-2324)</t>
  </si>
  <si>
    <t>Clean4shore program (ECR-2025-2031)</t>
  </si>
  <si>
    <t>Conservation Volunteers Australia – support (ECR-2025-2515)</t>
  </si>
  <si>
    <t>Northam Re-use Water Scheme – Western Australia – support (ECR-2025-2655)</t>
  </si>
  <si>
    <t>Oceans IQ – supporting marine education (ECR-2025-2403)</t>
  </si>
  <si>
    <t>OzFish – supporting habitat restoration (ECR-2025-2195)</t>
  </si>
  <si>
    <t>Alannah and Madeline Foundation – support (ECR-2025-2544)</t>
  </si>
  <si>
    <t>New Health and Engineering Wing for CQUniversity (ECR-2025-2437)</t>
  </si>
  <si>
    <t>Non-Government School 18 month Foundation Program – South Australia (ECR-2025-2648)</t>
  </si>
  <si>
    <t xml:space="preserve">Employment and Workplace Relations </t>
  </si>
  <si>
    <t>Tradie and Trainee Booster: Apprentice and Trainee Hiring Incentive (ECR-2025-2325)</t>
  </si>
  <si>
    <t>Maddie Riewoldt’s Vision – additional support (ECR-2025-2302)</t>
  </si>
  <si>
    <t>National Institute for Mental Health – expansion (ECR-2025-2288)</t>
  </si>
  <si>
    <t>Next Stages of Creutzfeldt-Jakob disease longitudinal study (ECR-2025-2209)</t>
  </si>
  <si>
    <t>Outcomes-based Indigenous Health Delivery – CareFlight investment (ECR-2025-2181)</t>
  </si>
  <si>
    <t>Outcomes-based Indigenous Health Delivery – Tresillian Family Care Centre (ECR-2025-2514)</t>
  </si>
  <si>
    <t>Ovarian Cancer Australia (ECR-2025-2819)</t>
  </si>
  <si>
    <t>Specialised Care Subsidy – AEIOU Foundation (ECR-2025-2432)</t>
  </si>
  <si>
    <t>Stay Afloat Australia – additional support (ECR-2025-2730)</t>
  </si>
  <si>
    <t>Suicide Prevention Research Fund (ECR-2025-2194)</t>
  </si>
  <si>
    <t xml:space="preserve">Home Affairs </t>
  </si>
  <si>
    <t>Northern Australia and Rangelands Fire Information (ECR-2025-2154)</t>
  </si>
  <si>
    <t>Support for Disaster Relief Australia for a National Veterans Volunteer Program (ECR-2025-2647)</t>
  </si>
  <si>
    <t>Sustainable Funding for Crime Stoppers (ECR-2025-2260)</t>
  </si>
  <si>
    <t xml:space="preserve">Industry, Science and Resources </t>
  </si>
  <si>
    <t>Local Roads and Community Infrastructure program (ECR-2025-2453)</t>
  </si>
  <si>
    <t>Rail projects – increase and rephase (ECR-2025-2257)</t>
  </si>
  <si>
    <t>Regional Airports Program (ECR-2025-2470)</t>
  </si>
  <si>
    <t xml:space="preserve">Prime Minister and Cabinet </t>
  </si>
  <si>
    <t>Adass Israel Synagogue Rebuild (ECR-2025-2272)</t>
  </si>
  <si>
    <t>Redtails Pinktails Right Tracks program (ECR-2025-2632)</t>
  </si>
  <si>
    <t xml:space="preserve">Social Services </t>
  </si>
  <si>
    <t>Increasing Isolated Children Boarding School Allowance (ECR-2025-2381)</t>
  </si>
  <si>
    <t>Recycling mobile phones to assist victims of domestic violence (ECR-2025-2047)</t>
  </si>
  <si>
    <t>Safety net for family and domestic violence helpline – support (ECR-2025-2292)</t>
  </si>
  <si>
    <t xml:space="preserve">Treasury </t>
  </si>
  <si>
    <t>Adjust Fuel Excise – 25c per litre reduction (ECR-2025-2457)</t>
  </si>
  <si>
    <t>Personal Income Tax – amendments (ECR-2025-2525)</t>
  </si>
  <si>
    <t>Small business tax deductibility for business-related meal expenses – 2 years (ECR-2025-2491)</t>
  </si>
  <si>
    <t>Veterans' Affairs (part of the Defence Portfolio)</t>
  </si>
  <si>
    <t>Veterans Guild – support (ECR-2025-2813)</t>
  </si>
  <si>
    <r>
      <t>Tables 5A-B</t>
    </r>
    <r>
      <rPr>
        <sz val="12"/>
        <rFont val="Calibri"/>
        <family val="2"/>
        <scheme val="minor"/>
      </rPr>
      <t xml:space="preserve"> show the commitments with absorbed departmental expenses.</t>
    </r>
  </si>
  <si>
    <r>
      <t xml:space="preserve">Tables 4A-B </t>
    </r>
    <r>
      <rPr>
        <sz val="12"/>
        <rFont val="Calibri"/>
        <family val="2"/>
        <scheme val="minor"/>
      </rPr>
      <t>show the reconciliation of ECR commitments and aggregate underlying cash balance impacts, with those provided and published by the Coalition.</t>
    </r>
  </si>
  <si>
    <t>Table 4A: Reconciliation of ECR platform impacts with platform impacts as published by the Coalition, underlying cash balance, forward estimates</t>
  </si>
  <si>
    <t>Table 4B: Reconciliation of ECR commitments with the Coalition, detailed</t>
  </si>
  <si>
    <t>Table 5B: Commitments with assumed absorbed departmental expenses</t>
  </si>
  <si>
    <t xml:space="preserve">Note: </t>
  </si>
  <si>
    <t>Expands on Table 4-4: Reconciliation of ECR commitments with Coalition party list</t>
  </si>
  <si>
    <t>Expands on Table 4-3: Commitments with absorbed departmental expenses, the Coalition</t>
  </si>
  <si>
    <t>-7.1(b)</t>
  </si>
  <si>
    <r>
      <t>6.6</t>
    </r>
    <r>
      <rPr>
        <b/>
        <vertAlign val="superscript"/>
        <sz val="9"/>
        <color rgb="FF000000"/>
        <rFont val="Calibri"/>
        <family val="2"/>
        <scheme val="minor"/>
      </rPr>
      <t>(c)</t>
    </r>
  </si>
  <si>
    <t xml:space="preserve"> </t>
  </si>
  <si>
    <r>
      <t xml:space="preserve">Announced commitments to establish a civil nuclear program including operating nuclear power plants in 7 locations across the country </t>
    </r>
    <r>
      <rPr>
        <vertAlign val="superscript"/>
        <sz val="9"/>
        <color theme="1"/>
        <rFont val="Calibri"/>
        <family val="2"/>
      </rPr>
      <t>4</t>
    </r>
  </si>
  <si>
    <r>
      <t xml:space="preserve">Total PDI </t>
    </r>
    <r>
      <rPr>
        <b/>
        <vertAlign val="superscript"/>
        <sz val="9"/>
        <color theme="0"/>
        <rFont val="Calibri"/>
        <family val="2"/>
        <scheme val="minor"/>
      </rPr>
      <t>6</t>
    </r>
  </si>
  <si>
    <r>
      <rPr>
        <vertAlign val="superscript"/>
        <sz val="9"/>
        <color theme="1" tint="0.499984740745262"/>
        <rFont val="Calibri"/>
        <family val="2"/>
        <scheme val="minor"/>
      </rPr>
      <t>5</t>
    </r>
    <r>
      <rPr>
        <sz val="9"/>
        <color theme="1" tint="0.499984740745262"/>
        <rFont val="Calibri"/>
        <family val="2"/>
        <scheme val="minor"/>
      </rPr>
      <t xml:space="preserve"> Excludes tax cap adjustments and any resulting PDI impacts from the tax cap. See Table 2A for the impacts of the tax cap.</t>
    </r>
  </si>
  <si>
    <r>
      <rPr>
        <vertAlign val="superscript"/>
        <sz val="9"/>
        <color theme="1" tint="0.499984740745262"/>
        <rFont val="Calibri"/>
        <family val="2"/>
        <scheme val="minor"/>
      </rPr>
      <t>6</t>
    </r>
    <r>
      <rPr>
        <sz val="9"/>
        <color theme="1" tint="0.499984740745262"/>
        <rFont val="Calibri"/>
        <family val="2"/>
        <scheme val="minor"/>
      </rPr>
      <t xml:space="preserve"> Excludes any resulting PDI impacts from the tax cap. See Table 2A for the impacts of the tax cap.</t>
    </r>
  </si>
  <si>
    <r>
      <rPr>
        <vertAlign val="superscript"/>
        <sz val="9"/>
        <color theme="1" tint="0.499984740745262"/>
        <rFont val="Calibri"/>
        <family val="2"/>
        <scheme val="minor"/>
      </rPr>
      <t>5</t>
    </r>
    <r>
      <rPr>
        <sz val="9"/>
        <color theme="1" tint="0.499984740745262"/>
        <rFont val="Calibri"/>
        <family val="2"/>
        <scheme val="minor"/>
      </rPr>
      <t xml:space="preserve"> Excludes tax cap adjustments and any resulting PDI impacts from the tax cap. See Table 2B for the impacts of the tax cap.</t>
    </r>
  </si>
  <si>
    <r>
      <rPr>
        <vertAlign val="superscript"/>
        <sz val="9"/>
        <color theme="1" tint="0.499984740745262"/>
        <rFont val="Calibri"/>
        <family val="2"/>
      </rPr>
      <t>6</t>
    </r>
    <r>
      <rPr>
        <sz val="9"/>
        <color theme="1" tint="0.499984740745262"/>
        <rFont val="Calibri"/>
        <family val="2"/>
        <scheme val="minor"/>
      </rPr>
      <t xml:space="preserve"> Excludes any resulting PDI impacts from the tax cap. See Table 2B for the impacts of the tax cap.</t>
    </r>
  </si>
  <si>
    <r>
      <rPr>
        <vertAlign val="superscript"/>
        <sz val="9"/>
        <color theme="1" tint="0.499984740745262"/>
        <rFont val="Calibri"/>
        <family val="2"/>
        <scheme val="minor"/>
      </rPr>
      <t>5</t>
    </r>
    <r>
      <rPr>
        <sz val="9"/>
        <color theme="1" tint="0.499984740745262"/>
        <rFont val="Calibri"/>
        <family val="2"/>
        <scheme val="minor"/>
      </rPr>
      <t xml:space="preserve"> Excludes tax cap adjustments and any resulting PDI impacts from the tax cap. See Table 2C for the impacts of the tax cap.</t>
    </r>
  </si>
  <si>
    <r>
      <rPr>
        <vertAlign val="superscript"/>
        <sz val="9"/>
        <color theme="1" tint="0.499984740745262"/>
        <rFont val="Calibri"/>
        <family val="2"/>
        <scheme val="minor"/>
      </rPr>
      <t>6</t>
    </r>
    <r>
      <rPr>
        <sz val="9"/>
        <color theme="1" tint="0.499984740745262"/>
        <rFont val="Calibri"/>
        <family val="2"/>
        <scheme val="minor"/>
      </rPr>
      <t xml:space="preserve"> Excludes any resulting PDI impacts from the tax cap. See Table 2C for the impacts of the tax cap.</t>
    </r>
  </si>
  <si>
    <t xml:space="preserve">Tax cap: Net impact of unspecified tax cuts due to policy to constrain receipts ($b) </t>
  </si>
  <si>
    <r>
      <t xml:space="preserve">Total impact of election commitments (incl PDI, excluding tax cap) </t>
    </r>
    <r>
      <rPr>
        <b/>
        <vertAlign val="superscript"/>
        <sz val="9"/>
        <color theme="0"/>
        <rFont val="Calibri"/>
        <family val="2"/>
        <scheme val="minor"/>
      </rPr>
      <t>5</t>
    </r>
  </si>
  <si>
    <t xml:space="preserve">2025 Election Commitments Report </t>
  </si>
  <si>
    <t>2026-27</t>
  </si>
  <si>
    <t>2027-28</t>
  </si>
  <si>
    <t>2028-29</t>
  </si>
  <si>
    <t>2029-30</t>
  </si>
  <si>
    <t>2030-31</t>
  </si>
  <si>
    <t>2031-32</t>
  </si>
  <si>
    <t>2032-33</t>
  </si>
  <si>
    <t>2033-34</t>
  </si>
  <si>
    <t>2034-35</t>
  </si>
  <si>
    <t>2035-36</t>
  </si>
  <si>
    <t>Total to 
2028-29</t>
  </si>
  <si>
    <t>Total to 
2035-36</t>
  </si>
  <si>
    <t>Non-government school 18 month foundation program</t>
  </si>
  <si>
    <t>Deliver a National Gas Plan – Strategic Basin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</si>
</sst>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
    <numFmt numFmtId="166" formatCode="#,##0.0_ ;\-#,##0.0\ "/>
    <numFmt numFmtId="167" formatCode="_-* #,##0.0_-;\-* #,##0.0_-;_-* &quot;-&quot;??_-;_-@_-"/>
    <numFmt numFmtId="168" formatCode="_-* #,##0.000_-;\-* #,##0.000_-;_-* &quot;-&quot;??_-;_-@_-"/>
  </numFmts>
  <fonts count="46" x14ac:knownFonts="1">
    <font>
      <sz val="11"/>
      <color theme="1"/>
      <name val="Calibri"/>
      <family val="2"/>
      <scheme val="minor"/>
    </font>
    <font>
      <b/>
      <sz val="9"/>
      <color rgb="FFFFFFFF"/>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u/>
      <sz val="9"/>
      <color theme="10"/>
      <name val="Calibri"/>
      <family val="2"/>
      <scheme val="minor"/>
    </font>
    <font>
      <b/>
      <sz val="12"/>
      <color theme="1"/>
      <name val="Calibri"/>
      <family val="2"/>
      <scheme val="minor"/>
    </font>
    <font>
      <b/>
      <vertAlign val="superscript"/>
      <sz val="12"/>
      <color theme="1"/>
      <name val="Calibri"/>
      <family val="2"/>
      <scheme val="minor"/>
    </font>
    <font>
      <b/>
      <sz val="9"/>
      <color theme="0"/>
      <name val="Calibri"/>
      <family val="2"/>
      <scheme val="minor"/>
    </font>
    <font>
      <b/>
      <vertAlign val="superscript"/>
      <sz val="9"/>
      <color theme="0"/>
      <name val="Calibri"/>
      <family val="2"/>
      <scheme val="minor"/>
    </font>
    <font>
      <sz val="9"/>
      <color theme="1" tint="0.499984740745262"/>
      <name val="Calibri"/>
      <family val="2"/>
      <scheme val="minor"/>
    </font>
    <font>
      <vertAlign val="superscript"/>
      <sz val="9"/>
      <color theme="1" tint="0.499984740745262"/>
      <name val="Calibri"/>
      <family val="2"/>
      <scheme val="minor"/>
    </font>
    <font>
      <b/>
      <sz val="9"/>
      <name val="Calibri"/>
      <family val="2"/>
      <scheme val="minor"/>
    </font>
    <font>
      <b/>
      <vertAlign val="superscript"/>
      <sz val="9"/>
      <name val="Calibri"/>
      <family val="2"/>
      <scheme val="minor"/>
    </font>
    <font>
      <b/>
      <sz val="20"/>
      <name val="Calibri"/>
      <family val="2"/>
      <scheme val="minor"/>
    </font>
    <font>
      <b/>
      <sz val="14"/>
      <name val="Calibri"/>
      <family val="2"/>
      <scheme val="minor"/>
    </font>
    <font>
      <i/>
      <sz val="9"/>
      <name val="Calibri"/>
      <family val="2"/>
      <scheme val="minor"/>
    </font>
    <font>
      <b/>
      <vertAlign val="subscript"/>
      <sz val="9"/>
      <color theme="1"/>
      <name val="Calibri"/>
      <family val="2"/>
      <scheme val="minor"/>
    </font>
    <font>
      <sz val="12"/>
      <color theme="1"/>
      <name val="Calibri"/>
      <family val="2"/>
      <scheme val="minor"/>
    </font>
    <font>
      <sz val="12"/>
      <name val="Calibri"/>
      <family val="2"/>
      <scheme val="minor"/>
    </font>
    <font>
      <b/>
      <sz val="12"/>
      <name val="Calibri"/>
      <family val="2"/>
      <scheme val="minor"/>
    </font>
    <font>
      <i/>
      <sz val="9"/>
      <color theme="1"/>
      <name val="Calibri"/>
      <family val="2"/>
      <scheme val="minor"/>
    </font>
    <font>
      <b/>
      <i/>
      <sz val="9"/>
      <color theme="1"/>
      <name val="Calibri"/>
      <family val="2"/>
      <scheme val="minor"/>
    </font>
    <font>
      <b/>
      <i/>
      <sz val="9"/>
      <color theme="0"/>
      <name val="Calibri"/>
      <family val="2"/>
      <scheme val="minor"/>
    </font>
    <font>
      <b/>
      <vertAlign val="superscript"/>
      <sz val="9"/>
      <color theme="1"/>
      <name val="Calibri"/>
      <family val="2"/>
    </font>
    <font>
      <b/>
      <sz val="8"/>
      <color theme="1"/>
      <name val="Calibri"/>
      <family val="2"/>
      <scheme val="minor"/>
    </font>
    <font>
      <vertAlign val="superscript"/>
      <sz val="9"/>
      <color theme="1"/>
      <name val="Calibri"/>
      <family val="2"/>
      <scheme val="minor"/>
    </font>
    <font>
      <vertAlign val="superscript"/>
      <sz val="9"/>
      <color theme="1"/>
      <name val="Calibri"/>
      <family val="2"/>
    </font>
    <font>
      <vertAlign val="superscript"/>
      <sz val="9"/>
      <color theme="1" tint="0.499984740745262"/>
      <name val="Calibri"/>
      <family val="2"/>
    </font>
    <font>
      <sz val="11"/>
      <color theme="1"/>
      <name val="Calibri"/>
      <family val="2"/>
      <scheme val="minor"/>
    </font>
    <font>
      <b/>
      <sz val="9"/>
      <color rgb="FF000000"/>
      <name val="Calibri"/>
      <family val="2"/>
      <scheme val="minor"/>
    </font>
    <font>
      <i/>
      <sz val="9"/>
      <color rgb="FF000000"/>
      <name val="Calibri"/>
      <family val="2"/>
      <scheme val="minor"/>
    </font>
    <font>
      <sz val="9"/>
      <color rgb="FF000000"/>
      <name val="Calibri"/>
      <family val="2"/>
      <scheme val="minor"/>
    </font>
    <font>
      <sz val="11"/>
      <name val="Calibri"/>
      <family val="2"/>
      <scheme val="minor"/>
    </font>
    <font>
      <b/>
      <sz val="12"/>
      <color rgb="FF323A36"/>
      <name val="Calibri"/>
      <family val="2"/>
      <scheme val="minor"/>
    </font>
    <font>
      <b/>
      <i/>
      <sz val="9"/>
      <color rgb="FF000000"/>
      <name val="Calibri"/>
      <family val="2"/>
      <scheme val="minor"/>
    </font>
    <font>
      <b/>
      <i/>
      <vertAlign val="superscript"/>
      <sz val="9"/>
      <color rgb="FF000000"/>
      <name val="Calibri"/>
      <family val="2"/>
      <scheme val="minor"/>
    </font>
    <font>
      <b/>
      <vertAlign val="superscript"/>
      <sz val="9"/>
      <color rgb="FF000000"/>
      <name val="Calibri"/>
      <family val="2"/>
      <scheme val="minor"/>
    </font>
    <font>
      <sz val="9"/>
      <color rgb="FF636161"/>
      <name val="Calibri"/>
      <family val="2"/>
      <scheme val="minor"/>
    </font>
    <font>
      <i/>
      <sz val="9"/>
      <color rgb="FF636161"/>
      <name val="Calibri"/>
      <family val="2"/>
      <scheme val="minor"/>
    </font>
    <font>
      <sz val="11"/>
      <color rgb="FF000000"/>
      <name val="Aptos"/>
      <family val="2"/>
    </font>
    <font>
      <b/>
      <sz val="9"/>
      <color rgb="FF000000"/>
      <name val="Aptos"/>
      <family val="2"/>
    </font>
    <font>
      <sz val="9"/>
      <color rgb="FF000000"/>
      <name val="Aptos"/>
      <family val="2"/>
    </font>
    <font>
      <u/>
      <sz val="9"/>
      <color theme="1"/>
      <name val="Calibri"/>
      <family val="2"/>
      <scheme val="minor"/>
    </font>
    <font>
      <u/>
      <sz val="9"/>
      <name val="Calibri"/>
      <family val="2"/>
      <scheme val="minor"/>
    </font>
    <font>
      <sz val="10"/>
      <color theme="2" tint="-0.499984740745262"/>
      <name val="Calibri"/>
      <family val="2"/>
      <scheme val="minor"/>
    </font>
  </fonts>
  <fills count="8">
    <fill>
      <patternFill patternType="none"/>
    </fill>
    <fill>
      <patternFill patternType="gray125"/>
    </fill>
    <fill>
      <patternFill patternType="solid">
        <fgColor rgb="FF3D4D7D"/>
        <bgColor indexed="64"/>
      </patternFill>
    </fill>
    <fill>
      <patternFill patternType="solid">
        <fgColor rgb="FFD3D8E9"/>
        <bgColor indexed="64"/>
      </patternFill>
    </fill>
    <fill>
      <patternFill patternType="solid">
        <fgColor theme="0" tint="-4.9989318521683403E-2"/>
        <bgColor indexed="64"/>
      </patternFill>
    </fill>
    <fill>
      <patternFill patternType="solid">
        <fgColor theme="0"/>
        <bgColor indexed="64"/>
      </patternFill>
    </fill>
    <fill>
      <patternFill patternType="solid">
        <fgColor rgb="FFF1F3F4"/>
        <bgColor indexed="64"/>
      </patternFill>
    </fill>
    <fill>
      <patternFill patternType="solid">
        <fgColor rgb="FFFFFFFF"/>
        <bgColor indexed="64"/>
      </patternFill>
    </fill>
  </fills>
  <borders count="12">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top style="thin">
        <color theme="0" tint="-0.249977111117893"/>
      </top>
      <bottom/>
      <diagonal/>
    </border>
    <border>
      <left style="thin">
        <color theme="6"/>
      </left>
      <right style="thin">
        <color theme="6"/>
      </right>
      <top style="thin">
        <color theme="6"/>
      </top>
      <bottom style="thin">
        <color theme="6"/>
      </bottom>
      <diagonal/>
    </border>
  </borders>
  <cellStyleXfs count="3">
    <xf numFmtId="0" fontId="0" fillId="0" borderId="0"/>
    <xf numFmtId="0" fontId="2" fillId="0" borderId="0" applyNumberFormat="0" applyFill="0" applyBorder="0" applyAlignment="0" applyProtection="0"/>
    <xf numFmtId="43" fontId="29" fillId="0" borderId="0" applyFont="0" applyFill="0" applyBorder="0" applyAlignment="0" applyProtection="0"/>
  </cellStyleXfs>
  <cellXfs count="140">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3" borderId="2" xfId="0" applyFont="1" applyFill="1" applyBorder="1" applyAlignment="1">
      <alignment horizontal="left" vertical="center"/>
    </xf>
    <xf numFmtId="0" fontId="3" fillId="3" borderId="2" xfId="0" applyFont="1" applyFill="1" applyBorder="1" applyAlignment="1">
      <alignment horizontal="center" vertical="center"/>
    </xf>
    <xf numFmtId="0" fontId="3" fillId="3"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8" fillId="2" borderId="2" xfId="0" quotePrefix="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10" fillId="0" borderId="0" xfId="0" applyFont="1" applyAlignment="1">
      <alignment horizontal="left" vertical="center" indent="1"/>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10" fillId="0" borderId="0" xfId="0" applyFont="1" applyAlignment="1">
      <alignment horizontal="left" vertical="center"/>
    </xf>
    <xf numFmtId="0" fontId="5" fillId="0" borderId="0" xfId="1" applyFont="1" applyAlignment="1">
      <alignment horizontal="left" vertical="center"/>
    </xf>
    <xf numFmtId="164" fontId="4" fillId="0" borderId="0" xfId="0" applyNumberFormat="1"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vertical="center"/>
    </xf>
    <xf numFmtId="0" fontId="1" fillId="2" borderId="3" xfId="0" applyFont="1" applyFill="1" applyBorder="1" applyAlignment="1">
      <alignment horizontal="center" vertical="center" wrapText="1"/>
    </xf>
    <xf numFmtId="164" fontId="3"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0" fontId="3" fillId="3" borderId="0" xfId="0" quotePrefix="1" applyFont="1" applyFill="1" applyAlignment="1">
      <alignment horizontal="center" vertical="center"/>
    </xf>
    <xf numFmtId="164" fontId="8" fillId="3" borderId="0" xfId="0" applyNumberFormat="1" applyFont="1" applyFill="1" applyAlignment="1">
      <alignment horizontal="right" vertical="center"/>
    </xf>
    <xf numFmtId="0" fontId="3" fillId="0" borderId="4" xfId="0" applyFont="1" applyBorder="1" applyAlignment="1">
      <alignment horizontal="left" vertical="center"/>
    </xf>
    <xf numFmtId="164" fontId="3" fillId="0" borderId="4" xfId="0" applyNumberFormat="1" applyFont="1" applyBorder="1" applyAlignment="1">
      <alignment horizontal="right" vertical="center"/>
    </xf>
    <xf numFmtId="0" fontId="3" fillId="0" borderId="4" xfId="0" quotePrefix="1" applyFont="1" applyBorder="1" applyAlignment="1">
      <alignment horizontal="center" vertical="center"/>
    </xf>
    <xf numFmtId="0" fontId="12" fillId="0" borderId="4" xfId="0" applyFont="1" applyBorder="1" applyAlignment="1">
      <alignment horizontal="lef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2" fillId="3" borderId="5" xfId="0" applyFont="1" applyFill="1" applyBorder="1" applyAlignment="1">
      <alignment horizontal="left" vertical="center"/>
    </xf>
    <xf numFmtId="164" fontId="8" fillId="3" borderId="1" xfId="0" applyNumberFormat="1" applyFont="1" applyFill="1" applyBorder="1" applyAlignment="1">
      <alignment horizontal="right" vertical="center"/>
    </xf>
    <xf numFmtId="0" fontId="8" fillId="3" borderId="1" xfId="0" applyFont="1" applyFill="1" applyBorder="1" applyAlignment="1">
      <alignment horizontal="center" vertical="center"/>
    </xf>
    <xf numFmtId="0" fontId="8" fillId="3" borderId="6" xfId="0" quotePrefix="1" applyFont="1" applyFill="1" applyBorder="1" applyAlignment="1">
      <alignment horizontal="center"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3" fillId="3" borderId="9" xfId="0" quotePrefix="1" applyFont="1" applyFill="1" applyBorder="1" applyAlignment="1">
      <alignment horizontal="center" vertical="center"/>
    </xf>
    <xf numFmtId="0" fontId="12" fillId="0" borderId="4" xfId="0" quotePrefix="1" applyFont="1" applyBorder="1" applyAlignment="1">
      <alignment horizontal="center" vertical="center"/>
    </xf>
    <xf numFmtId="0" fontId="2" fillId="0" borderId="0" xfId="1" applyBorder="1" applyAlignment="1">
      <alignment vertical="center"/>
    </xf>
    <xf numFmtId="0" fontId="21" fillId="0" borderId="0" xfId="0" applyFont="1" applyAlignment="1">
      <alignment horizontal="left" vertical="center"/>
    </xf>
    <xf numFmtId="164" fontId="21" fillId="0" borderId="4" xfId="0" applyNumberFormat="1" applyFont="1" applyBorder="1" applyAlignment="1">
      <alignment horizontal="right" vertical="center"/>
    </xf>
    <xf numFmtId="0" fontId="21" fillId="0" borderId="4" xfId="0" applyFont="1" applyBorder="1" applyAlignment="1">
      <alignment horizontal="center" vertical="center"/>
    </xf>
    <xf numFmtId="0" fontId="21" fillId="0" borderId="0" xfId="0" applyFont="1" applyAlignment="1">
      <alignment vertical="center"/>
    </xf>
    <xf numFmtId="0" fontId="22" fillId="0" borderId="4" xfId="0" applyFont="1" applyBorder="1" applyAlignment="1">
      <alignment horizontal="center" vertical="center"/>
    </xf>
    <xf numFmtId="0" fontId="22" fillId="0" borderId="4" xfId="0" quotePrefix="1" applyFont="1" applyBorder="1" applyAlignment="1">
      <alignment horizontal="center" vertical="center"/>
    </xf>
    <xf numFmtId="0" fontId="23" fillId="0" borderId="4" xfId="0" applyFont="1" applyBorder="1" applyAlignment="1">
      <alignment horizontal="center" vertical="center"/>
    </xf>
    <xf numFmtId="0" fontId="23" fillId="0" borderId="4" xfId="0" quotePrefix="1" applyFont="1" applyBorder="1" applyAlignment="1">
      <alignment horizontal="center" vertical="center"/>
    </xf>
    <xf numFmtId="0" fontId="21" fillId="0" borderId="0" xfId="0" applyFont="1" applyAlignment="1">
      <alignment horizontal="right" vertical="center"/>
    </xf>
    <xf numFmtId="0" fontId="16" fillId="0" borderId="4" xfId="0" applyFont="1" applyBorder="1" applyAlignment="1">
      <alignment horizontal="left" vertical="center" indent="1"/>
    </xf>
    <xf numFmtId="0" fontId="3" fillId="0" borderId="0" xfId="0" applyFont="1" applyAlignment="1">
      <alignment horizontal="right" vertical="center"/>
    </xf>
    <xf numFmtId="165" fontId="4" fillId="0" borderId="0" xfId="0" applyNumberFormat="1" applyFont="1" applyAlignment="1">
      <alignment horizontal="right" vertical="center"/>
    </xf>
    <xf numFmtId="165" fontId="1" fillId="2" borderId="1" xfId="0" applyNumberFormat="1" applyFont="1" applyFill="1" applyBorder="1" applyAlignment="1">
      <alignment horizontal="right" vertical="center" wrapText="1"/>
    </xf>
    <xf numFmtId="165" fontId="3" fillId="3" borderId="2" xfId="0" applyNumberFormat="1" applyFont="1" applyFill="1" applyBorder="1" applyAlignment="1">
      <alignment horizontal="right" vertical="center"/>
    </xf>
    <xf numFmtId="165" fontId="8" fillId="2" borderId="2" xfId="0" applyNumberFormat="1" applyFont="1" applyFill="1" applyBorder="1" applyAlignment="1">
      <alignment horizontal="right" vertical="center"/>
    </xf>
    <xf numFmtId="164" fontId="21" fillId="4" borderId="4" xfId="0" applyNumberFormat="1" applyFont="1" applyFill="1" applyBorder="1" applyAlignment="1">
      <alignment horizontal="right" vertical="center"/>
    </xf>
    <xf numFmtId="0" fontId="12" fillId="3" borderId="2" xfId="0" applyFont="1" applyFill="1" applyBorder="1" applyAlignment="1">
      <alignment horizontal="left" vertical="center"/>
    </xf>
    <xf numFmtId="0" fontId="4" fillId="0" borderId="2" xfId="0" applyFont="1" applyBorder="1" applyAlignment="1">
      <alignment horizontal="left" vertical="center"/>
    </xf>
    <xf numFmtId="165" fontId="4" fillId="0" borderId="2" xfId="0" applyNumberFormat="1" applyFont="1" applyBorder="1" applyAlignment="1">
      <alignment horizontal="right" vertical="center"/>
    </xf>
    <xf numFmtId="0" fontId="4" fillId="0" borderId="2" xfId="0" applyFont="1" applyBorder="1" applyAlignment="1">
      <alignment horizontal="center" vertical="center"/>
    </xf>
    <xf numFmtId="0" fontId="3" fillId="0" borderId="2" xfId="0" applyFont="1" applyBorder="1" applyAlignment="1">
      <alignment horizontal="left" vertical="center"/>
    </xf>
    <xf numFmtId="165" fontId="3" fillId="0" borderId="2" xfId="0" applyNumberFormat="1" applyFont="1" applyBorder="1" applyAlignment="1">
      <alignment horizontal="right" vertical="center"/>
    </xf>
    <xf numFmtId="0" fontId="3" fillId="0" borderId="2"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166" fontId="4" fillId="0" borderId="0" xfId="0" applyNumberFormat="1" applyFont="1" applyAlignment="1">
      <alignment horizontal="right" vertical="center"/>
    </xf>
    <xf numFmtId="166" fontId="4" fillId="0" borderId="0" xfId="0" applyNumberFormat="1" applyFont="1" applyAlignment="1">
      <alignment horizontal="center" vertical="center"/>
    </xf>
    <xf numFmtId="0" fontId="10" fillId="5" borderId="0" xfId="0" applyFont="1" applyFill="1" applyAlignment="1">
      <alignment horizontal="left" vertical="center" indent="1"/>
    </xf>
    <xf numFmtId="0" fontId="10" fillId="5" borderId="0" xfId="0" applyFont="1" applyFill="1" applyAlignment="1">
      <alignment vertical="center"/>
    </xf>
    <xf numFmtId="165" fontId="10" fillId="5" borderId="0" xfId="0" applyNumberFormat="1" applyFont="1" applyFill="1" applyAlignment="1">
      <alignment vertical="center"/>
    </xf>
    <xf numFmtId="166" fontId="10" fillId="5" borderId="0" xfId="0" applyNumberFormat="1" applyFont="1" applyFill="1" applyAlignment="1">
      <alignment vertical="center"/>
    </xf>
    <xf numFmtId="166" fontId="10" fillId="5" borderId="0" xfId="0" applyNumberFormat="1" applyFont="1" applyFill="1" applyAlignment="1">
      <alignment horizontal="center" vertical="center"/>
    </xf>
    <xf numFmtId="164" fontId="4" fillId="5" borderId="0" xfId="0" applyNumberFormat="1" applyFont="1" applyFill="1" applyAlignment="1">
      <alignment horizontal="right" vertical="center"/>
    </xf>
    <xf numFmtId="0" fontId="4" fillId="5" borderId="0" xfId="0" applyFont="1" applyFill="1" applyAlignment="1">
      <alignment horizontal="center" vertical="center"/>
    </xf>
    <xf numFmtId="0" fontId="10" fillId="0" borderId="0" xfId="0" applyFont="1" applyAlignment="1">
      <alignment vertical="center" wrapText="1"/>
    </xf>
    <xf numFmtId="165" fontId="4" fillId="0" borderId="0" xfId="0" applyNumberFormat="1" applyFont="1" applyAlignment="1">
      <alignment vertical="center"/>
    </xf>
    <xf numFmtId="166" fontId="4" fillId="0" borderId="0" xfId="0" applyNumberFormat="1" applyFont="1" applyAlignment="1">
      <alignment vertical="center"/>
    </xf>
    <xf numFmtId="0" fontId="25" fillId="3" borderId="0" xfId="0" applyFont="1" applyFill="1" applyAlignment="1">
      <alignment horizontal="left" vertical="center"/>
    </xf>
    <xf numFmtId="0" fontId="6" fillId="5" borderId="0" xfId="0" applyFont="1" applyFill="1" applyAlignment="1">
      <alignment horizontal="left" vertical="center"/>
    </xf>
    <xf numFmtId="0" fontId="0" fillId="5" borderId="0" xfId="0" applyFill="1"/>
    <xf numFmtId="0" fontId="3" fillId="5" borderId="4" xfId="0" applyFont="1" applyFill="1" applyBorder="1" applyAlignment="1">
      <alignment horizontal="left" vertical="center"/>
    </xf>
    <xf numFmtId="164" fontId="30" fillId="5" borderId="4" xfId="0" applyNumberFormat="1" applyFont="1" applyFill="1" applyBorder="1" applyAlignment="1">
      <alignment horizontal="right" vertical="center"/>
    </xf>
    <xf numFmtId="0" fontId="16" fillId="5" borderId="4" xfId="0" applyFont="1" applyFill="1" applyBorder="1" applyAlignment="1">
      <alignment horizontal="left" vertical="center" indent="1"/>
    </xf>
    <xf numFmtId="164" fontId="31" fillId="5" borderId="4" xfId="0" applyNumberFormat="1" applyFont="1" applyFill="1" applyBorder="1" applyAlignment="1">
      <alignment horizontal="right" vertical="center"/>
    </xf>
    <xf numFmtId="164" fontId="32" fillId="5" borderId="4" xfId="0" applyNumberFormat="1" applyFont="1" applyFill="1" applyBorder="1" applyAlignment="1">
      <alignment horizontal="right" vertical="center"/>
    </xf>
    <xf numFmtId="0" fontId="12" fillId="5" borderId="4" xfId="0" applyFont="1" applyFill="1" applyBorder="1" applyAlignment="1">
      <alignment horizontal="left" vertical="center"/>
    </xf>
    <xf numFmtId="164" fontId="3" fillId="5" borderId="4" xfId="0" applyNumberFormat="1" applyFont="1" applyFill="1" applyBorder="1" applyAlignment="1">
      <alignment horizontal="right" vertical="center"/>
    </xf>
    <xf numFmtId="164" fontId="21" fillId="5" borderId="4" xfId="0" applyNumberFormat="1" applyFont="1" applyFill="1" applyBorder="1" applyAlignment="1">
      <alignment horizontal="right" vertical="center"/>
    </xf>
    <xf numFmtId="164" fontId="22" fillId="5" borderId="4" xfId="0" applyNumberFormat="1" applyFont="1" applyFill="1" applyBorder="1" applyAlignment="1">
      <alignment horizontal="right" vertical="center"/>
    </xf>
    <xf numFmtId="4" fontId="21" fillId="5" borderId="4" xfId="0" applyNumberFormat="1" applyFont="1" applyFill="1" applyBorder="1" applyAlignment="1">
      <alignment horizontal="right" vertical="center"/>
    </xf>
    <xf numFmtId="0" fontId="4" fillId="5" borderId="0" xfId="0" applyFont="1" applyFill="1" applyAlignment="1">
      <alignment horizontal="left" vertical="center"/>
    </xf>
    <xf numFmtId="0" fontId="10" fillId="5" borderId="0" xfId="0" applyFont="1" applyFill="1" applyAlignment="1">
      <alignment horizontal="left" vertical="center"/>
    </xf>
    <xf numFmtId="0" fontId="5" fillId="5" borderId="0" xfId="1" applyFont="1" applyFill="1" applyAlignment="1">
      <alignment horizontal="left" vertical="center"/>
    </xf>
    <xf numFmtId="165" fontId="1" fillId="5" borderId="10" xfId="0" applyNumberFormat="1" applyFont="1" applyFill="1" applyBorder="1" applyAlignment="1">
      <alignment horizontal="right" vertical="center" wrapText="1"/>
    </xf>
    <xf numFmtId="167" fontId="0" fillId="5" borderId="0" xfId="2" applyNumberFormat="1" applyFont="1" applyFill="1"/>
    <xf numFmtId="0" fontId="33" fillId="5" borderId="0" xfId="0" applyFont="1" applyFill="1"/>
    <xf numFmtId="168" fontId="0" fillId="5" borderId="0" xfId="0" applyNumberFormat="1" applyFill="1"/>
    <xf numFmtId="0" fontId="34" fillId="5" borderId="0" xfId="0" applyFont="1" applyFill="1" applyAlignment="1">
      <alignment vertical="center"/>
    </xf>
    <xf numFmtId="0" fontId="4" fillId="5" borderId="0" xfId="0" applyFont="1" applyFill="1"/>
    <xf numFmtId="0" fontId="1" fillId="2" borderId="11" xfId="0" applyFont="1" applyFill="1" applyBorder="1" applyAlignment="1">
      <alignment horizontal="left" vertical="center" wrapText="1"/>
    </xf>
    <xf numFmtId="165" fontId="1" fillId="2" borderId="11" xfId="0" applyNumberFormat="1" applyFont="1" applyFill="1" applyBorder="1" applyAlignment="1">
      <alignment horizontal="right" vertical="center" wrapText="1"/>
    </xf>
    <xf numFmtId="0" fontId="12" fillId="3" borderId="11" xfId="0" applyFont="1" applyFill="1" applyBorder="1" applyAlignment="1">
      <alignment horizontal="left" vertical="center"/>
    </xf>
    <xf numFmtId="3" fontId="3" fillId="3" borderId="11" xfId="0" applyNumberFormat="1" applyFont="1" applyFill="1" applyBorder="1" applyAlignment="1">
      <alignment horizontal="right" vertical="center"/>
    </xf>
    <xf numFmtId="164" fontId="3" fillId="3" borderId="11" xfId="0" applyNumberFormat="1" applyFont="1" applyFill="1" applyBorder="1" applyAlignment="1">
      <alignment horizontal="right" vertical="center"/>
    </xf>
    <xf numFmtId="0" fontId="30" fillId="6" borderId="11" xfId="0" applyFont="1" applyFill="1" applyBorder="1" applyAlignment="1">
      <alignment vertical="center" wrapText="1"/>
    </xf>
    <xf numFmtId="0" fontId="32" fillId="6" borderId="11" xfId="0" applyFont="1" applyFill="1" applyBorder="1" applyAlignment="1">
      <alignment vertical="center" wrapText="1"/>
    </xf>
    <xf numFmtId="0" fontId="35" fillId="7" borderId="11" xfId="0" applyFont="1" applyFill="1" applyBorder="1" applyAlignment="1">
      <alignment horizontal="left" vertical="center" wrapText="1" indent="3"/>
    </xf>
    <xf numFmtId="0" fontId="31" fillId="7" borderId="11" xfId="0" applyFont="1" applyFill="1" applyBorder="1" applyAlignment="1">
      <alignment horizontal="right" vertical="center" wrapText="1"/>
    </xf>
    <xf numFmtId="0" fontId="31" fillId="7" borderId="11" xfId="0" applyFont="1" applyFill="1" applyBorder="1" applyAlignment="1">
      <alignment horizontal="left" vertical="center" wrapText="1" indent="4"/>
    </xf>
    <xf numFmtId="0" fontId="35" fillId="6" borderId="11" xfId="0" applyFont="1" applyFill="1" applyBorder="1" applyAlignment="1">
      <alignment horizontal="left" vertical="center" wrapText="1" indent="3"/>
    </xf>
    <xf numFmtId="0" fontId="31" fillId="6" borderId="11" xfId="0" applyFont="1" applyFill="1" applyBorder="1" applyAlignment="1">
      <alignment horizontal="right" vertical="center" wrapText="1"/>
    </xf>
    <xf numFmtId="0" fontId="31" fillId="6" borderId="11" xfId="0" applyFont="1" applyFill="1" applyBorder="1" applyAlignment="1">
      <alignment horizontal="left" vertical="center" wrapText="1" indent="4"/>
    </xf>
    <xf numFmtId="0" fontId="30" fillId="6" borderId="11" xfId="0" applyFont="1" applyFill="1" applyBorder="1" applyAlignment="1">
      <alignment horizontal="left" vertical="center" wrapText="1"/>
    </xf>
    <xf numFmtId="0" fontId="32" fillId="6" borderId="11" xfId="0" applyFont="1" applyFill="1" applyBorder="1" applyAlignment="1">
      <alignment horizontal="right" vertical="center" wrapText="1"/>
    </xf>
    <xf numFmtId="0" fontId="31" fillId="6" borderId="11" xfId="0" applyFont="1" applyFill="1" applyBorder="1" applyAlignment="1">
      <alignment horizontal="left" vertical="center" indent="4"/>
    </xf>
    <xf numFmtId="0" fontId="32" fillId="6" borderId="11" xfId="0" applyFont="1" applyFill="1" applyBorder="1" applyAlignment="1">
      <alignment horizontal="right" vertical="center"/>
    </xf>
    <xf numFmtId="0" fontId="32" fillId="7" borderId="11" xfId="0" applyFont="1" applyFill="1" applyBorder="1" applyAlignment="1">
      <alignment vertical="center" wrapText="1"/>
    </xf>
    <xf numFmtId="0" fontId="32" fillId="7" borderId="11" xfId="0" applyFont="1" applyFill="1" applyBorder="1" applyAlignment="1">
      <alignment horizontal="right" vertical="center" wrapText="1"/>
    </xf>
    <xf numFmtId="49" fontId="32" fillId="7" borderId="11" xfId="0" applyNumberFormat="1" applyFont="1" applyFill="1" applyBorder="1" applyAlignment="1">
      <alignment horizontal="right" vertical="center" wrapText="1"/>
    </xf>
    <xf numFmtId="0" fontId="38" fillId="5" borderId="0" xfId="0" applyFont="1" applyFill="1" applyAlignment="1">
      <alignment vertical="center"/>
    </xf>
    <xf numFmtId="0" fontId="40" fillId="5" borderId="0" xfId="0" applyFont="1" applyFill="1" applyAlignment="1">
      <alignment vertical="center"/>
    </xf>
    <xf numFmtId="0" fontId="6" fillId="5" borderId="0" xfId="0" applyFont="1" applyFill="1"/>
    <xf numFmtId="0" fontId="30" fillId="5" borderId="11" xfId="0" applyFont="1" applyFill="1" applyBorder="1" applyAlignment="1">
      <alignment vertical="center" wrapText="1"/>
    </xf>
    <xf numFmtId="0" fontId="41" fillId="5" borderId="11" xfId="0" applyFont="1" applyFill="1" applyBorder="1" applyAlignment="1">
      <alignment horizontal="right" vertical="center" wrapText="1"/>
    </xf>
    <xf numFmtId="0" fontId="31" fillId="5" borderId="11" xfId="0" applyFont="1" applyFill="1" applyBorder="1" applyAlignment="1">
      <alignment horizontal="left" vertical="center" wrapText="1" indent="1"/>
    </xf>
    <xf numFmtId="0" fontId="42" fillId="5" borderId="11" xfId="0" applyFont="1" applyFill="1" applyBorder="1" applyAlignment="1">
      <alignment horizontal="right" vertical="center" wrapText="1"/>
    </xf>
    <xf numFmtId="0" fontId="20" fillId="5" borderId="0" xfId="0" applyFont="1" applyFill="1" applyAlignment="1">
      <alignment vertical="center" wrapText="1"/>
    </xf>
    <xf numFmtId="0" fontId="30" fillId="5" borderId="11" xfId="0" applyFont="1" applyFill="1" applyBorder="1" applyAlignment="1">
      <alignment horizontal="right" vertical="center" wrapText="1"/>
    </xf>
    <xf numFmtId="0" fontId="31" fillId="5" borderId="11" xfId="0" applyFont="1" applyFill="1" applyBorder="1" applyAlignment="1">
      <alignment horizontal="left" vertical="center" wrapText="1" indent="2"/>
    </xf>
    <xf numFmtId="0" fontId="32" fillId="5" borderId="11" xfId="0" applyFont="1" applyFill="1" applyBorder="1" applyAlignment="1">
      <alignment horizontal="right" vertical="center" wrapText="1"/>
    </xf>
    <xf numFmtId="0" fontId="38" fillId="5" borderId="0" xfId="0" applyFont="1" applyFill="1" applyAlignment="1">
      <alignment horizontal="left" vertical="center" indent="1"/>
    </xf>
    <xf numFmtId="0" fontId="43" fillId="0" borderId="2" xfId="0" applyFont="1" applyBorder="1" applyAlignment="1">
      <alignment horizontal="left" vertical="center"/>
    </xf>
    <xf numFmtId="0" fontId="44" fillId="0" borderId="2" xfId="0" applyFont="1" applyBorder="1" applyAlignment="1">
      <alignment horizontal="left" vertical="center"/>
    </xf>
    <xf numFmtId="0" fontId="45" fillId="5" borderId="0" xfId="0" applyFont="1" applyFill="1" applyAlignment="1">
      <alignment horizontal="left" indent="1"/>
    </xf>
    <xf numFmtId="165" fontId="1" fillId="2" borderId="1" xfId="0" applyNumberFormat="1" applyFont="1" applyFill="1" applyBorder="1" applyAlignment="1">
      <alignment horizontal="right" vertical="top" wrapText="1"/>
    </xf>
    <xf numFmtId="0" fontId="3" fillId="0" borderId="0" xfId="0" applyFont="1" applyAlignment="1">
      <alignment horizontal="center" vertical="center"/>
    </xf>
  </cellXfs>
  <cellStyles count="3">
    <cellStyle name="Comma" xfId="2" builtinId="3"/>
    <cellStyle name="Hyperlink" xfId="1" builtinId="8"/>
    <cellStyle name="Normal" xfId="0" builtinId="0"/>
  </cellStyles>
  <dxfs count="3">
    <dxf>
      <font>
        <b val="0"/>
        <i val="0"/>
      </font>
      <fill>
        <patternFill>
          <bgColor theme="0"/>
        </patternFill>
      </fill>
    </dxf>
    <dxf>
      <font>
        <b val="0"/>
        <i val="0"/>
      </font>
      <fill>
        <patternFill>
          <bgColor theme="0"/>
        </patternFill>
      </fill>
    </dxf>
    <dxf>
      <font>
        <b val="0"/>
        <i val="0"/>
      </font>
      <fill>
        <patternFill>
          <bgColor theme="0"/>
        </patternFill>
      </fill>
    </dxf>
  </dxfs>
  <tableStyles count="0" defaultTableStyle="TableStyleMedium2" defaultPivotStyle="PivotStyleLight16"/>
  <colors>
    <mruColors>
      <color rgb="FFD3D8E9"/>
      <color rgb="FF3D4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7916334</xdr:colOff>
      <xdr:row>0</xdr:row>
      <xdr:rowOff>137583</xdr:rowOff>
    </xdr:from>
    <xdr:ext cx="2000250" cy="623570"/>
    <xdr:pic>
      <xdr:nvPicPr>
        <xdr:cNvPr id="4" name="Picture 3">
          <a:extLst>
            <a:ext uri="{FF2B5EF4-FFF2-40B4-BE49-F238E27FC236}">
              <a16:creationId xmlns:a16="http://schemas.microsoft.com/office/drawing/2014/main" id="{ABB23CF2-4B33-43DE-A30B-FCB2ED2CA9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9751" y="137583"/>
          <a:ext cx="2000250" cy="62357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bo.gov.au/elections/2025-general-election/2025-election-commitments-costings/entrepreneurship-accelerator-tax-incentiv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 Id="rId1"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 Id="rId1"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 Id="rId1" Type="http://schemas.openxmlformats.org/officeDocument/2006/relationships/hyperlink" Target="https://www.pbo.gov.au/elections/2025-general-election/2025-election-commitments-costings/Announced%20commitments%20to%20establish%20a%20civil%20nuclear%20program%20including%20operating%20nuclear%20power%20plants%20in%207%20locations%20across%20the%20countr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30E3-FEFD-4801-B208-B80A6823CFA9}">
  <sheetPr>
    <tabColor rgb="FF3D4D7D"/>
  </sheetPr>
  <dimension ref="B1:B34"/>
  <sheetViews>
    <sheetView showGridLines="0" tabSelected="1" zoomScaleNormal="100" workbookViewId="0"/>
  </sheetViews>
  <sheetFormatPr defaultColWidth="8.85546875" defaultRowHeight="15" x14ac:dyDescent="0.25"/>
  <cols>
    <col min="1" max="1" width="3.7109375" style="19" customWidth="1"/>
    <col min="2" max="2" width="150.5703125" style="19" customWidth="1"/>
    <col min="3" max="16384" width="8.85546875" style="19"/>
  </cols>
  <sheetData>
    <row r="1" spans="2:2" ht="14.45" customHeight="1" x14ac:dyDescent="0.25"/>
    <row r="2" spans="2:2" ht="26.25" x14ac:dyDescent="0.25">
      <c r="B2" s="65" t="s">
        <v>617</v>
      </c>
    </row>
    <row r="3" spans="2:2" ht="20.100000000000001" customHeight="1" x14ac:dyDescent="0.25">
      <c r="B3" s="66" t="s">
        <v>85</v>
      </c>
    </row>
    <row r="4" spans="2:2" ht="14.45" customHeight="1" x14ac:dyDescent="0.25">
      <c r="B4" s="66"/>
    </row>
    <row r="5" spans="2:2" ht="39.950000000000003" customHeight="1" x14ac:dyDescent="0.25">
      <c r="B5" s="67" t="s">
        <v>93</v>
      </c>
    </row>
    <row r="6" spans="2:2" ht="39.950000000000003" customHeight="1" x14ac:dyDescent="0.25">
      <c r="B6" s="68" t="s">
        <v>83</v>
      </c>
    </row>
    <row r="7" spans="2:2" ht="39.950000000000003" customHeight="1" x14ac:dyDescent="0.25">
      <c r="B7" s="68" t="s">
        <v>84</v>
      </c>
    </row>
    <row r="8" spans="2:2" ht="39.950000000000003" customHeight="1" x14ac:dyDescent="0.25">
      <c r="B8" s="130" t="s">
        <v>597</v>
      </c>
    </row>
    <row r="9" spans="2:2" ht="39.950000000000003" customHeight="1" x14ac:dyDescent="0.25">
      <c r="B9" s="130" t="s">
        <v>596</v>
      </c>
    </row>
    <row r="10" spans="2:2" ht="39.950000000000003" customHeight="1" x14ac:dyDescent="0.25">
      <c r="B10" s="68" t="s">
        <v>0</v>
      </c>
    </row>
    <row r="11" spans="2:2" ht="14.45" customHeight="1" x14ac:dyDescent="0.25">
      <c r="B11" s="68"/>
    </row>
    <row r="12" spans="2:2" ht="20.100000000000001" customHeight="1" x14ac:dyDescent="0.25">
      <c r="B12" s="66" t="s">
        <v>1</v>
      </c>
    </row>
    <row r="13" spans="2:2" ht="14.45" customHeight="1" x14ac:dyDescent="0.25">
      <c r="B13" s="41" t="s">
        <v>86</v>
      </c>
    </row>
    <row r="14" spans="2:2" ht="14.45" customHeight="1" x14ac:dyDescent="0.25">
      <c r="B14" s="41" t="s">
        <v>87</v>
      </c>
    </row>
    <row r="15" spans="2:2" ht="14.45" customHeight="1" x14ac:dyDescent="0.25">
      <c r="B15" s="41" t="s">
        <v>88</v>
      </c>
    </row>
    <row r="16" spans="2:2" ht="14.45" customHeight="1" x14ac:dyDescent="0.25"/>
    <row r="17" spans="2:2" ht="14.45" customHeight="1" x14ac:dyDescent="0.25">
      <c r="B17" s="41" t="s">
        <v>89</v>
      </c>
    </row>
    <row r="18" spans="2:2" ht="14.45" customHeight="1" x14ac:dyDescent="0.25">
      <c r="B18" s="41" t="s">
        <v>90</v>
      </c>
    </row>
    <row r="19" spans="2:2" ht="14.45" customHeight="1" x14ac:dyDescent="0.25">
      <c r="B19" s="41" t="s">
        <v>91</v>
      </c>
    </row>
    <row r="20" spans="2:2" ht="14.45" customHeight="1" x14ac:dyDescent="0.25"/>
    <row r="21" spans="2:2" ht="14.45" customHeight="1" x14ac:dyDescent="0.25">
      <c r="B21" s="41" t="s">
        <v>2</v>
      </c>
    </row>
    <row r="22" spans="2:2" ht="14.45" customHeight="1" x14ac:dyDescent="0.25">
      <c r="B22" s="41" t="s">
        <v>3</v>
      </c>
    </row>
    <row r="23" spans="2:2" ht="14.45" customHeight="1" x14ac:dyDescent="0.25"/>
    <row r="24" spans="2:2" ht="14.45" customHeight="1" x14ac:dyDescent="0.25">
      <c r="B24" s="41" t="s">
        <v>598</v>
      </c>
    </row>
    <row r="25" spans="2:2" ht="14.45" customHeight="1" x14ac:dyDescent="0.25">
      <c r="B25" s="41" t="s">
        <v>599</v>
      </c>
    </row>
    <row r="26" spans="2:2" ht="14.45" customHeight="1" x14ac:dyDescent="0.25"/>
    <row r="27" spans="2:2" ht="14.45" customHeight="1" x14ac:dyDescent="0.25">
      <c r="B27" s="41" t="s">
        <v>523</v>
      </c>
    </row>
    <row r="28" spans="2:2" ht="14.45" customHeight="1" x14ac:dyDescent="0.25">
      <c r="B28" s="41" t="s">
        <v>600</v>
      </c>
    </row>
    <row r="29" spans="2:2" ht="14.45" customHeight="1" x14ac:dyDescent="0.25"/>
    <row r="30" spans="2:2" ht="14.45" customHeight="1" x14ac:dyDescent="0.25"/>
    <row r="31" spans="2:2" ht="14.45" customHeight="1" x14ac:dyDescent="0.25"/>
    <row r="32" spans="2:2" ht="14.45" customHeight="1" x14ac:dyDescent="0.25"/>
    <row r="33" ht="14.45" customHeight="1" x14ac:dyDescent="0.25"/>
    <row r="34" ht="14.45" customHeight="1" x14ac:dyDescent="0.25"/>
  </sheetData>
  <hyperlinks>
    <hyperlink ref="B19" location="'Table 2C'!A1" display="Table 2C: Headline cash balance totals, including tax-to-GDP cap adjustments to impacts and public debt interest (PDI), Party A, medium term" xr:uid="{D25049CC-1023-4FFB-AA45-6A6E5FAD598B}"/>
    <hyperlink ref="B18" location="'Table 2B'!A1" display="Table 2B: Fiscal balance totals, including tax-to-GDP cap adjustments to impacts and public debt interest (PDI), Party A, medium term" xr:uid="{8B313C97-1EE1-42DE-84AB-CD5F54C0E203}"/>
    <hyperlink ref="B17" location="'Table 2A'!A1" display="Table 2A: Underlying cash balance totals, including tax-to-GDP cap adjustments to impacts and public debt interest (PDI), Party A, medium term" xr:uid="{CF5C5F35-A958-472D-A7BC-325F99F6BC93}"/>
    <hyperlink ref="B15" location="'Table 1C'!A1" display="Table 1C: Detailed budget impacts of election commitments, $ million, Australian Labor Party, medium term, headline cash balance" xr:uid="{DEBCDBA4-A23B-4648-8B5B-590C3EE47339}"/>
    <hyperlink ref="B14" location="'Table 1B'!A1" display="Table 1B: Detailed budget impacts of election commitments, $ million, Australian Labor Party, medium term, fiscal balance" xr:uid="{97606C2B-5089-48DE-BB9C-CBCAEF7F35B7}"/>
    <hyperlink ref="B13" location="'Table 1A'!A1" display="Table 1A: Detailed budget impacts of election commitments, $ million, Australian Labor Party, medium term, underlying cash balance" xr:uid="{311E89BC-C7C0-41B1-A165-E09B9E2817DB}"/>
    <hyperlink ref="B22" location="'Table 3B'!A1" display="Table 3B: Revenue, exponeses and public debt interest (PDI) for Party A, including impact of election commitments and final values" xr:uid="{AF4D29D0-C978-4B0C-8CB1-DBB8DF748B2C}"/>
    <hyperlink ref="B21" location="'Table 3A'!A1" display="Table 3A: Receipts, payments and public debt interest (PDI) for Party A, including impact of election commitments and final values" xr:uid="{CA32CAD1-D92C-4D91-ADDD-1B560DA37699}"/>
    <hyperlink ref="B25" location="'Table 4B'!A1" display="Table 4B: Reconciliation of ECR commitments with the Australian Labor Party list, detailed" xr:uid="{6F522019-203D-4F77-AC82-70B93FC90606}"/>
    <hyperlink ref="B24" location="'Table 4A'!A1" display="Table 4A: Reconciliation of ECR platform impacts with platform impacts as published by the Australian Labor Party, underlying cash balance, forward estimates" xr:uid="{766AF1EC-902F-47F0-A15D-E94B6523B965}"/>
    <hyperlink ref="B28" location="'Table 5B'!A1" display="Table 5B: Commitments with absorbed departmental expenses, additional" xr:uid="{FE71641F-671E-4176-B698-E218D5611012}"/>
    <hyperlink ref="B27" location="'Table 5A'!A1" display="Table 5A: Commitments with absorbed departmental expenses, specified by party" xr:uid="{85D06B13-8D1A-46AE-9D9A-560B45F6E2EF}"/>
  </hyperlinks>
  <pageMargins left="0.7" right="0.7" top="0.75" bottom="0.75" header="0.3" footer="0.3"/>
  <pageSetup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BF4E-EBBD-4B0E-AD1B-56B48043CD8D}">
  <sheetPr>
    <tabColor theme="0" tint="-4.9989318521683403E-2"/>
  </sheetPr>
  <dimension ref="B2:G44"/>
  <sheetViews>
    <sheetView zoomScaleNormal="100" workbookViewId="0"/>
  </sheetViews>
  <sheetFormatPr defaultColWidth="8.7109375" defaultRowHeight="15" x14ac:dyDescent="0.25"/>
  <cols>
    <col min="1" max="1" width="3.7109375" style="83" customWidth="1"/>
    <col min="2" max="2" width="75.7109375" style="83" customWidth="1"/>
    <col min="3" max="6" width="12.5703125" style="83" bestFit="1" customWidth="1"/>
    <col min="7" max="7" width="14.85546875" style="83" customWidth="1"/>
    <col min="8" max="16384" width="8.7109375" style="83"/>
  </cols>
  <sheetData>
    <row r="2" spans="2:7" ht="18" x14ac:dyDescent="0.25">
      <c r="B2" s="82" t="s">
        <v>470</v>
      </c>
      <c r="C2" s="76"/>
      <c r="D2" s="76"/>
      <c r="E2" s="76"/>
      <c r="F2" s="76"/>
      <c r="G2" s="76"/>
    </row>
    <row r="3" spans="2:7" ht="24" x14ac:dyDescent="0.25">
      <c r="B3" s="37" t="s">
        <v>31</v>
      </c>
      <c r="C3" s="54" t="s">
        <v>471</v>
      </c>
      <c r="D3" s="54" t="s">
        <v>618</v>
      </c>
      <c r="E3" s="54" t="s">
        <v>619</v>
      </c>
      <c r="F3" s="54" t="s">
        <v>620</v>
      </c>
      <c r="G3" s="54" t="s">
        <v>628</v>
      </c>
    </row>
    <row r="4" spans="2:7" x14ac:dyDescent="0.25">
      <c r="B4" s="84" t="s">
        <v>472</v>
      </c>
      <c r="C4" s="85">
        <v>2880</v>
      </c>
      <c r="D4" s="85">
        <v>2993</v>
      </c>
      <c r="E4" s="85">
        <v>3149</v>
      </c>
      <c r="F4" s="85">
        <v>3320</v>
      </c>
      <c r="G4" s="85">
        <f>SUM(C4:F4)</f>
        <v>12342</v>
      </c>
    </row>
    <row r="5" spans="2:7" x14ac:dyDescent="0.25">
      <c r="B5" s="86" t="s">
        <v>449</v>
      </c>
      <c r="C5" s="87">
        <v>100</v>
      </c>
      <c r="D5" s="87">
        <v>100</v>
      </c>
      <c r="E5" s="87">
        <v>100</v>
      </c>
      <c r="F5" s="87">
        <v>100</v>
      </c>
      <c r="G5" s="88"/>
    </row>
    <row r="6" spans="2:7" x14ac:dyDescent="0.25">
      <c r="B6" s="33" t="s">
        <v>92</v>
      </c>
      <c r="C6" s="23"/>
      <c r="D6" s="23"/>
      <c r="E6" s="23"/>
      <c r="F6" s="23"/>
      <c r="G6" s="24"/>
    </row>
    <row r="7" spans="2:7" x14ac:dyDescent="0.25">
      <c r="B7" s="89" t="s">
        <v>473</v>
      </c>
      <c r="C7" s="90">
        <v>-5.6</v>
      </c>
      <c r="D7" s="90">
        <v>-2.2999999999999998</v>
      </c>
      <c r="E7" s="90">
        <v>9.5</v>
      </c>
      <c r="F7" s="90">
        <v>12.2</v>
      </c>
      <c r="G7" s="90">
        <v>13.9</v>
      </c>
    </row>
    <row r="8" spans="2:7" x14ac:dyDescent="0.25">
      <c r="B8" s="86" t="s">
        <v>449</v>
      </c>
      <c r="C8" s="91">
        <v>-0.19444444444444445</v>
      </c>
      <c r="D8" s="91">
        <v>-7.6845973939191445E-2</v>
      </c>
      <c r="E8" s="91">
        <v>0.30168307399174338</v>
      </c>
      <c r="F8" s="91">
        <v>0.36746987951807225</v>
      </c>
      <c r="G8" s="91"/>
    </row>
    <row r="9" spans="2:7" x14ac:dyDescent="0.25">
      <c r="B9" s="89" t="s">
        <v>474</v>
      </c>
      <c r="C9" s="90">
        <v>-5.7</v>
      </c>
      <c r="D9" s="90">
        <v>-4.8</v>
      </c>
      <c r="E9" s="90">
        <v>7.5</v>
      </c>
      <c r="F9" s="90">
        <v>9.5</v>
      </c>
      <c r="G9" s="90">
        <v>6.6</v>
      </c>
    </row>
    <row r="10" spans="2:7" x14ac:dyDescent="0.25">
      <c r="B10" s="86" t="s">
        <v>449</v>
      </c>
      <c r="C10" s="91">
        <v>-0.19791666666666669</v>
      </c>
      <c r="D10" s="91">
        <v>-0.16037420648179085</v>
      </c>
      <c r="E10" s="91">
        <v>0.23817084788821849</v>
      </c>
      <c r="F10" s="91">
        <v>0.28614457831325302</v>
      </c>
      <c r="G10" s="91"/>
    </row>
    <row r="11" spans="2:7" x14ac:dyDescent="0.25">
      <c r="B11" s="89" t="s">
        <v>475</v>
      </c>
      <c r="C11" s="92">
        <v>-0.10000000000000053</v>
      </c>
      <c r="D11" s="92">
        <v>-2.5</v>
      </c>
      <c r="E11" s="92">
        <v>-2</v>
      </c>
      <c r="F11" s="92">
        <v>-2.6999999999999993</v>
      </c>
      <c r="G11" s="92">
        <v>-7.2000000000000011</v>
      </c>
    </row>
    <row r="12" spans="2:7" x14ac:dyDescent="0.25">
      <c r="B12" s="86" t="s">
        <v>449</v>
      </c>
      <c r="C12" s="93" t="s">
        <v>12</v>
      </c>
      <c r="D12" s="93">
        <v>-8.3528232542599404E-2</v>
      </c>
      <c r="E12" s="93">
        <v>-6.351222610352493E-2</v>
      </c>
      <c r="F12" s="93">
        <v>-8.1325301204819248E-2</v>
      </c>
      <c r="G12" s="91"/>
    </row>
    <row r="13" spans="2:7" x14ac:dyDescent="0.25">
      <c r="B13" s="94"/>
      <c r="C13" s="76"/>
      <c r="D13" s="76"/>
      <c r="E13" s="76"/>
      <c r="F13" s="76"/>
      <c r="G13" s="76"/>
    </row>
    <row r="14" spans="2:7" x14ac:dyDescent="0.25">
      <c r="B14" s="95" t="s">
        <v>23</v>
      </c>
      <c r="C14" s="76"/>
      <c r="D14" s="76"/>
      <c r="E14" s="76"/>
      <c r="F14" s="76"/>
      <c r="G14" s="76"/>
    </row>
    <row r="15" spans="2:7" x14ac:dyDescent="0.25">
      <c r="B15" s="71" t="s">
        <v>24</v>
      </c>
      <c r="C15" s="76"/>
      <c r="D15" s="76"/>
      <c r="E15" s="76"/>
      <c r="F15" s="76"/>
      <c r="G15" s="76"/>
    </row>
    <row r="16" spans="2:7" x14ac:dyDescent="0.25">
      <c r="B16" s="71" t="s">
        <v>25</v>
      </c>
      <c r="C16" s="76"/>
      <c r="D16" s="76"/>
      <c r="E16" s="76"/>
      <c r="F16" s="76"/>
      <c r="G16" s="76"/>
    </row>
    <row r="17" spans="2:7" x14ac:dyDescent="0.25">
      <c r="B17" s="71" t="s">
        <v>27</v>
      </c>
      <c r="C17" s="76"/>
      <c r="D17" s="76"/>
      <c r="E17" s="76"/>
      <c r="F17" s="76"/>
      <c r="G17" s="76"/>
    </row>
    <row r="18" spans="2:7" x14ac:dyDescent="0.25">
      <c r="B18" s="71" t="s">
        <v>476</v>
      </c>
      <c r="C18" s="76"/>
      <c r="D18" s="76"/>
      <c r="E18" s="76"/>
      <c r="F18" s="76"/>
      <c r="G18" s="76"/>
    </row>
    <row r="19" spans="2:7" x14ac:dyDescent="0.25">
      <c r="B19" s="71" t="s">
        <v>477</v>
      </c>
      <c r="C19" s="76"/>
      <c r="D19" s="76"/>
      <c r="E19" s="76"/>
      <c r="F19" s="76"/>
      <c r="G19" s="76"/>
    </row>
    <row r="20" spans="2:7" x14ac:dyDescent="0.25">
      <c r="C20" s="76"/>
      <c r="D20" s="76"/>
      <c r="E20" s="76"/>
      <c r="F20" s="76"/>
      <c r="G20" s="76"/>
    </row>
    <row r="21" spans="2:7" x14ac:dyDescent="0.25">
      <c r="B21" s="96" t="s">
        <v>30</v>
      </c>
      <c r="C21" s="76"/>
      <c r="D21" s="76"/>
      <c r="E21" s="76"/>
      <c r="F21" s="76"/>
      <c r="G21" s="76"/>
    </row>
    <row r="22" spans="2:7" x14ac:dyDescent="0.25">
      <c r="B22"/>
    </row>
    <row r="25" spans="2:7" x14ac:dyDescent="0.25">
      <c r="C25" s="97"/>
      <c r="D25" s="97"/>
      <c r="E25" s="97"/>
      <c r="F25" s="97"/>
      <c r="G25" s="97"/>
    </row>
    <row r="26" spans="2:7" x14ac:dyDescent="0.25">
      <c r="C26" s="98"/>
      <c r="D26" s="98"/>
      <c r="E26" s="98"/>
      <c r="F26" s="98"/>
      <c r="G26" s="98"/>
    </row>
    <row r="27" spans="2:7" x14ac:dyDescent="0.25">
      <c r="C27" s="98"/>
      <c r="D27" s="98"/>
      <c r="E27" s="98"/>
      <c r="F27" s="98"/>
      <c r="G27" s="98"/>
    </row>
    <row r="28" spans="2:7" x14ac:dyDescent="0.25">
      <c r="C28" s="98"/>
      <c r="D28" s="98"/>
      <c r="E28" s="98"/>
      <c r="F28" s="98"/>
      <c r="G28" s="98"/>
    </row>
    <row r="29" spans="2:7" x14ac:dyDescent="0.25">
      <c r="B29" s="99"/>
      <c r="C29" s="98"/>
      <c r="D29" s="98"/>
      <c r="E29" s="98"/>
      <c r="F29" s="98"/>
      <c r="G29" s="98"/>
    </row>
    <row r="30" spans="2:7" x14ac:dyDescent="0.25">
      <c r="B30" s="99"/>
      <c r="C30" s="100"/>
      <c r="D30" s="100"/>
      <c r="E30" s="100"/>
      <c r="F30" s="100"/>
    </row>
    <row r="31" spans="2:7" x14ac:dyDescent="0.25">
      <c r="B31" s="99"/>
    </row>
    <row r="32" spans="2:7" x14ac:dyDescent="0.25">
      <c r="B32" s="99"/>
    </row>
    <row r="44" spans="7:7" x14ac:dyDescent="0.25">
      <c r="G44" s="83" t="s">
        <v>606</v>
      </c>
    </row>
  </sheetData>
  <hyperlinks>
    <hyperlink ref="B21" location="Contents!A1" display="Back to contents" xr:uid="{3423CAAF-1872-4157-82B4-22D11866472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BBB4-4444-41EB-9C71-325EFA834A3D}">
  <sheetPr>
    <tabColor theme="0" tint="-4.9989318521683403E-2"/>
  </sheetPr>
  <dimension ref="B2:D48"/>
  <sheetViews>
    <sheetView workbookViewId="0"/>
  </sheetViews>
  <sheetFormatPr defaultColWidth="8.7109375" defaultRowHeight="15" x14ac:dyDescent="0.25"/>
  <cols>
    <col min="1" max="1" width="3.7109375" style="83" customWidth="1"/>
    <col min="2" max="2" width="92.7109375" style="83" customWidth="1"/>
    <col min="3" max="3" width="27.5703125" style="83" customWidth="1"/>
    <col min="4" max="4" width="34.140625" style="83" customWidth="1"/>
    <col min="5" max="16384" width="8.7109375" style="83"/>
  </cols>
  <sheetData>
    <row r="2" spans="2:4" ht="15.75" x14ac:dyDescent="0.25">
      <c r="B2" s="101" t="s">
        <v>478</v>
      </c>
      <c r="C2" s="102"/>
      <c r="D2" s="102"/>
    </row>
    <row r="3" spans="2:4" ht="24" x14ac:dyDescent="0.25">
      <c r="B3" s="103"/>
      <c r="C3" s="104" t="s">
        <v>479</v>
      </c>
      <c r="D3" s="104" t="s">
        <v>480</v>
      </c>
    </row>
    <row r="4" spans="2:4" x14ac:dyDescent="0.25">
      <c r="B4" s="105" t="s">
        <v>481</v>
      </c>
      <c r="C4" s="106">
        <v>208</v>
      </c>
      <c r="D4" s="107">
        <v>13.9</v>
      </c>
    </row>
    <row r="5" spans="2:4" x14ac:dyDescent="0.25">
      <c r="B5" s="108" t="s">
        <v>482</v>
      </c>
      <c r="C5" s="109"/>
      <c r="D5" s="109"/>
    </row>
    <row r="6" spans="2:4" x14ac:dyDescent="0.25">
      <c r="B6" s="110" t="s">
        <v>483</v>
      </c>
      <c r="C6" s="111">
        <v>-1</v>
      </c>
      <c r="D6" s="111" t="s">
        <v>484</v>
      </c>
    </row>
    <row r="7" spans="2:4" x14ac:dyDescent="0.25">
      <c r="B7" s="112" t="s">
        <v>485</v>
      </c>
      <c r="C7" s="111"/>
      <c r="D7" s="111"/>
    </row>
    <row r="8" spans="2:4" x14ac:dyDescent="0.25">
      <c r="B8" s="113" t="s">
        <v>486</v>
      </c>
      <c r="C8" s="114">
        <v>-6</v>
      </c>
      <c r="D8" s="114" t="s">
        <v>484</v>
      </c>
    </row>
    <row r="9" spans="2:4" x14ac:dyDescent="0.25">
      <c r="B9" s="115" t="s">
        <v>487</v>
      </c>
      <c r="C9" s="114"/>
      <c r="D9" s="114"/>
    </row>
    <row r="10" spans="2:4" x14ac:dyDescent="0.25">
      <c r="B10" s="115" t="s">
        <v>488</v>
      </c>
      <c r="C10" s="114"/>
      <c r="D10" s="114"/>
    </row>
    <row r="11" spans="2:4" x14ac:dyDescent="0.25">
      <c r="B11" s="115" t="s">
        <v>489</v>
      </c>
      <c r="C11" s="114"/>
      <c r="D11" s="114"/>
    </row>
    <row r="12" spans="2:4" x14ac:dyDescent="0.25">
      <c r="B12" s="115" t="s">
        <v>490</v>
      </c>
      <c r="C12" s="114"/>
      <c r="D12" s="114"/>
    </row>
    <row r="13" spans="2:4" x14ac:dyDescent="0.25">
      <c r="B13" s="115" t="s">
        <v>491</v>
      </c>
      <c r="C13" s="114"/>
      <c r="D13" s="114"/>
    </row>
    <row r="14" spans="2:4" x14ac:dyDescent="0.25">
      <c r="B14" s="115" t="s">
        <v>492</v>
      </c>
      <c r="C14" s="114"/>
      <c r="D14" s="114"/>
    </row>
    <row r="15" spans="2:4" x14ac:dyDescent="0.25">
      <c r="B15" s="115" t="s">
        <v>493</v>
      </c>
      <c r="C15" s="114"/>
      <c r="D15" s="114"/>
    </row>
    <row r="16" spans="2:4" x14ac:dyDescent="0.25">
      <c r="B16" s="110" t="s">
        <v>494</v>
      </c>
      <c r="C16" s="111">
        <v>-3</v>
      </c>
      <c r="D16" s="111" t="s">
        <v>484</v>
      </c>
    </row>
    <row r="17" spans="2:4" x14ac:dyDescent="0.25">
      <c r="B17" s="112" t="s">
        <v>495</v>
      </c>
      <c r="C17" s="111"/>
      <c r="D17" s="111"/>
    </row>
    <row r="18" spans="2:4" x14ac:dyDescent="0.25">
      <c r="B18" s="112" t="s">
        <v>496</v>
      </c>
      <c r="C18" s="111"/>
      <c r="D18" s="111"/>
    </row>
    <row r="19" spans="2:4" x14ac:dyDescent="0.25">
      <c r="B19" s="112" t="s">
        <v>497</v>
      </c>
      <c r="C19" s="111"/>
      <c r="D19" s="111"/>
    </row>
    <row r="20" spans="2:4" x14ac:dyDescent="0.25">
      <c r="B20" s="116" t="s">
        <v>498</v>
      </c>
      <c r="C20" s="117">
        <v>16</v>
      </c>
      <c r="D20" s="117">
        <v>-0.1</v>
      </c>
    </row>
    <row r="21" spans="2:4" x14ac:dyDescent="0.25">
      <c r="B21" s="118" t="s">
        <v>499</v>
      </c>
      <c r="C21" s="117"/>
      <c r="D21" s="117"/>
    </row>
    <row r="22" spans="2:4" x14ac:dyDescent="0.25">
      <c r="B22" s="118" t="s">
        <v>500</v>
      </c>
      <c r="C22" s="119"/>
      <c r="D22" s="119"/>
    </row>
    <row r="23" spans="2:4" x14ac:dyDescent="0.25">
      <c r="B23" s="118" t="s">
        <v>501</v>
      </c>
      <c r="C23" s="119"/>
      <c r="D23" s="119"/>
    </row>
    <row r="24" spans="2:4" x14ac:dyDescent="0.25">
      <c r="B24" s="118" t="s">
        <v>502</v>
      </c>
      <c r="C24" s="119"/>
      <c r="D24" s="119"/>
    </row>
    <row r="25" spans="2:4" x14ac:dyDescent="0.25">
      <c r="B25" s="118" t="s">
        <v>503</v>
      </c>
      <c r="C25" s="119"/>
      <c r="D25" s="119"/>
    </row>
    <row r="26" spans="2:4" x14ac:dyDescent="0.25">
      <c r="B26" s="118" t="s">
        <v>504</v>
      </c>
      <c r="C26" s="119"/>
      <c r="D26" s="119"/>
    </row>
    <row r="27" spans="2:4" x14ac:dyDescent="0.25">
      <c r="B27" s="118" t="s">
        <v>505</v>
      </c>
      <c r="C27" s="119"/>
      <c r="D27" s="119"/>
    </row>
    <row r="28" spans="2:4" x14ac:dyDescent="0.25">
      <c r="B28" s="118" t="s">
        <v>506</v>
      </c>
      <c r="C28" s="119"/>
      <c r="D28" s="119"/>
    </row>
    <row r="29" spans="2:4" x14ac:dyDescent="0.25">
      <c r="B29" s="118" t="s">
        <v>507</v>
      </c>
      <c r="C29" s="119"/>
      <c r="D29" s="119"/>
    </row>
    <row r="30" spans="2:4" x14ac:dyDescent="0.25">
      <c r="B30" s="118" t="s">
        <v>508</v>
      </c>
      <c r="C30" s="119"/>
      <c r="D30" s="119"/>
    </row>
    <row r="31" spans="2:4" x14ac:dyDescent="0.25">
      <c r="B31" s="118" t="s">
        <v>509</v>
      </c>
      <c r="C31" s="119"/>
      <c r="D31" s="119"/>
    </row>
    <row r="32" spans="2:4" x14ac:dyDescent="0.25">
      <c r="B32" s="118" t="s">
        <v>510</v>
      </c>
      <c r="C32" s="119"/>
      <c r="D32" s="119"/>
    </row>
    <row r="33" spans="2:4" x14ac:dyDescent="0.25">
      <c r="B33" s="118" t="s">
        <v>511</v>
      </c>
      <c r="C33" s="119"/>
      <c r="D33" s="119"/>
    </row>
    <row r="34" spans="2:4" x14ac:dyDescent="0.25">
      <c r="B34" s="118" t="s">
        <v>512</v>
      </c>
      <c r="C34" s="119"/>
      <c r="D34" s="119"/>
    </row>
    <row r="35" spans="2:4" x14ac:dyDescent="0.25">
      <c r="B35" s="118" t="s">
        <v>513</v>
      </c>
      <c r="C35" s="119"/>
      <c r="D35" s="119"/>
    </row>
    <row r="36" spans="2:4" x14ac:dyDescent="0.25">
      <c r="B36" s="118" t="s">
        <v>514</v>
      </c>
      <c r="C36" s="119"/>
      <c r="D36" s="119"/>
    </row>
    <row r="37" spans="2:4" x14ac:dyDescent="0.25">
      <c r="B37" s="120" t="s">
        <v>515</v>
      </c>
      <c r="C37" s="121" t="s">
        <v>516</v>
      </c>
      <c r="D37" s="122" t="s">
        <v>604</v>
      </c>
    </row>
    <row r="38" spans="2:4" x14ac:dyDescent="0.25">
      <c r="B38" s="105" t="s">
        <v>517</v>
      </c>
      <c r="C38" s="106">
        <v>214</v>
      </c>
      <c r="D38" s="107" t="s">
        <v>605</v>
      </c>
    </row>
    <row r="39" spans="2:4" x14ac:dyDescent="0.25">
      <c r="B39" s="123" t="s">
        <v>518</v>
      </c>
      <c r="C39" s="102"/>
      <c r="D39" s="102"/>
    </row>
    <row r="40" spans="2:4" x14ac:dyDescent="0.25">
      <c r="B40" s="123"/>
      <c r="C40" s="102"/>
      <c r="D40" s="102"/>
    </row>
    <row r="41" spans="2:4" x14ac:dyDescent="0.25">
      <c r="B41" s="123" t="s">
        <v>23</v>
      </c>
      <c r="C41" s="102"/>
      <c r="D41" s="102"/>
    </row>
    <row r="42" spans="2:4" x14ac:dyDescent="0.25">
      <c r="B42" s="134" t="s">
        <v>602</v>
      </c>
      <c r="C42" s="102"/>
      <c r="D42" s="102"/>
    </row>
    <row r="43" spans="2:4" x14ac:dyDescent="0.25">
      <c r="B43" s="134" t="s">
        <v>519</v>
      </c>
      <c r="C43" s="102"/>
      <c r="D43" s="102"/>
    </row>
    <row r="44" spans="2:4" x14ac:dyDescent="0.25">
      <c r="B44" s="134" t="s">
        <v>520</v>
      </c>
      <c r="C44" s="102"/>
      <c r="D44" s="102"/>
    </row>
    <row r="45" spans="2:4" x14ac:dyDescent="0.25">
      <c r="B45" s="134" t="s">
        <v>521</v>
      </c>
      <c r="C45" s="102"/>
      <c r="D45" s="102"/>
    </row>
    <row r="46" spans="2:4" x14ac:dyDescent="0.25">
      <c r="B46" s="134" t="s">
        <v>522</v>
      </c>
      <c r="C46" s="102"/>
      <c r="D46" s="102"/>
    </row>
    <row r="47" spans="2:4" x14ac:dyDescent="0.25">
      <c r="B47" s="124"/>
    </row>
    <row r="48" spans="2:4" x14ac:dyDescent="0.25">
      <c r="B48" s="15" t="s">
        <v>30</v>
      </c>
    </row>
  </sheetData>
  <hyperlinks>
    <hyperlink ref="B44" r:id="rId1" display="https://www.pbo.gov.au/elections/2025-general-election/2025-election-commitments-costings/entrepreneurship-accelerator-tax-incentive" xr:uid="{6EE15628-91D5-4076-9F3D-2586B914B0B9}"/>
    <hyperlink ref="B48" location="Contents!A1" display="Back to contents" xr:uid="{E9F7881D-AAFD-407C-AEFF-179CC3CABC49}"/>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2961-A689-4D74-9E86-22A11E864063}">
  <sheetPr>
    <tabColor theme="0" tint="-4.9989318521683403E-2"/>
  </sheetPr>
  <dimension ref="B2:C36"/>
  <sheetViews>
    <sheetView zoomScaleNormal="100" workbookViewId="0"/>
  </sheetViews>
  <sheetFormatPr defaultColWidth="8.7109375" defaultRowHeight="15" x14ac:dyDescent="0.25"/>
  <cols>
    <col min="1" max="1" width="3.7109375" style="83" customWidth="1"/>
    <col min="2" max="2" width="71.7109375" style="83" customWidth="1"/>
    <col min="3" max="3" width="32.140625" style="83" customWidth="1"/>
    <col min="4" max="16384" width="8.7109375" style="83"/>
  </cols>
  <sheetData>
    <row r="2" spans="2:3" ht="15.75" x14ac:dyDescent="0.25">
      <c r="B2" s="125" t="s">
        <v>523</v>
      </c>
      <c r="C2" s="102"/>
    </row>
    <row r="3" spans="2:3" ht="24" x14ac:dyDescent="0.25">
      <c r="B3" s="103" t="s">
        <v>524</v>
      </c>
      <c r="C3" s="104" t="s">
        <v>525</v>
      </c>
    </row>
    <row r="4" spans="2:3" x14ac:dyDescent="0.25">
      <c r="B4" s="126" t="s">
        <v>526</v>
      </c>
      <c r="C4" s="127">
        <v>3</v>
      </c>
    </row>
    <row r="5" spans="2:3" x14ac:dyDescent="0.25">
      <c r="B5" s="128" t="s">
        <v>527</v>
      </c>
      <c r="C5" s="129"/>
    </row>
    <row r="6" spans="2:3" x14ac:dyDescent="0.25">
      <c r="B6" s="128" t="s">
        <v>528</v>
      </c>
      <c r="C6" s="129"/>
    </row>
    <row r="7" spans="2:3" x14ac:dyDescent="0.25">
      <c r="B7" s="128" t="s">
        <v>529</v>
      </c>
      <c r="C7" s="129"/>
    </row>
    <row r="8" spans="2:3" x14ac:dyDescent="0.25">
      <c r="B8" s="126" t="s">
        <v>530</v>
      </c>
      <c r="C8" s="127">
        <v>1</v>
      </c>
    </row>
    <row r="9" spans="2:3" ht="15.75" customHeight="1" x14ac:dyDescent="0.25">
      <c r="B9" s="128" t="s">
        <v>531</v>
      </c>
      <c r="C9" s="129"/>
    </row>
    <row r="10" spans="2:3" x14ac:dyDescent="0.25">
      <c r="B10" s="126" t="s">
        <v>532</v>
      </c>
      <c r="C10" s="127">
        <v>5</v>
      </c>
    </row>
    <row r="11" spans="2:3" x14ac:dyDescent="0.25">
      <c r="B11" s="128" t="s">
        <v>533</v>
      </c>
      <c r="C11" s="129"/>
    </row>
    <row r="12" spans="2:3" x14ac:dyDescent="0.25">
      <c r="B12" s="128" t="s">
        <v>534</v>
      </c>
      <c r="C12" s="129"/>
    </row>
    <row r="13" spans="2:3" x14ac:dyDescent="0.25">
      <c r="B13" s="128" t="s">
        <v>535</v>
      </c>
      <c r="C13" s="129"/>
    </row>
    <row r="14" spans="2:3" x14ac:dyDescent="0.25">
      <c r="B14" s="128" t="s">
        <v>485</v>
      </c>
      <c r="C14" s="129"/>
    </row>
    <row r="15" spans="2:3" x14ac:dyDescent="0.25">
      <c r="B15" s="128" t="s">
        <v>536</v>
      </c>
      <c r="C15" s="129"/>
    </row>
    <row r="16" spans="2:3" x14ac:dyDescent="0.25">
      <c r="B16" s="126" t="s">
        <v>537</v>
      </c>
      <c r="C16" s="127">
        <v>2</v>
      </c>
    </row>
    <row r="17" spans="2:3" x14ac:dyDescent="0.25">
      <c r="B17" s="128" t="s">
        <v>538</v>
      </c>
      <c r="C17" s="129"/>
    </row>
    <row r="18" spans="2:3" x14ac:dyDescent="0.25">
      <c r="B18" s="128" t="s">
        <v>539</v>
      </c>
      <c r="C18" s="129"/>
    </row>
    <row r="19" spans="2:3" x14ac:dyDescent="0.25">
      <c r="B19" s="126" t="s">
        <v>540</v>
      </c>
      <c r="C19" s="127">
        <v>2</v>
      </c>
    </row>
    <row r="20" spans="2:3" x14ac:dyDescent="0.25">
      <c r="B20" s="128" t="s">
        <v>541</v>
      </c>
      <c r="C20" s="129"/>
    </row>
    <row r="21" spans="2:3" x14ac:dyDescent="0.25">
      <c r="B21" s="128" t="s">
        <v>542</v>
      </c>
      <c r="C21" s="129"/>
    </row>
    <row r="22" spans="2:3" x14ac:dyDescent="0.25">
      <c r="B22" s="126" t="s">
        <v>543</v>
      </c>
      <c r="C22" s="127">
        <v>1</v>
      </c>
    </row>
    <row r="23" spans="2:3" x14ac:dyDescent="0.25">
      <c r="B23" s="128" t="s">
        <v>544</v>
      </c>
      <c r="C23" s="129"/>
    </row>
    <row r="24" spans="2:3" x14ac:dyDescent="0.25">
      <c r="B24" s="126" t="s">
        <v>545</v>
      </c>
      <c r="C24" s="127">
        <v>1</v>
      </c>
    </row>
    <row r="25" spans="2:3" x14ac:dyDescent="0.25">
      <c r="B25" s="128" t="s">
        <v>546</v>
      </c>
      <c r="C25" s="129"/>
    </row>
    <row r="26" spans="2:3" x14ac:dyDescent="0.25">
      <c r="B26" s="126" t="s">
        <v>547</v>
      </c>
      <c r="C26" s="127">
        <v>1</v>
      </c>
    </row>
    <row r="27" spans="2:3" x14ac:dyDescent="0.25">
      <c r="B27" s="128" t="s">
        <v>548</v>
      </c>
      <c r="C27" s="129"/>
    </row>
    <row r="28" spans="2:3" x14ac:dyDescent="0.25">
      <c r="B28" s="126" t="s">
        <v>549</v>
      </c>
      <c r="C28" s="127">
        <v>1</v>
      </c>
    </row>
    <row r="29" spans="2:3" x14ac:dyDescent="0.25">
      <c r="B29" s="128" t="s">
        <v>550</v>
      </c>
      <c r="C29" s="129"/>
    </row>
    <row r="30" spans="2:3" x14ac:dyDescent="0.25">
      <c r="B30" s="105" t="s">
        <v>551</v>
      </c>
      <c r="C30" s="106">
        <v>17</v>
      </c>
    </row>
    <row r="31" spans="2:3" x14ac:dyDescent="0.25">
      <c r="B31" s="123" t="s">
        <v>552</v>
      </c>
      <c r="C31" s="102"/>
    </row>
    <row r="32" spans="2:3" x14ac:dyDescent="0.25">
      <c r="B32" s="123"/>
      <c r="C32" s="102"/>
    </row>
    <row r="33" spans="2:3" x14ac:dyDescent="0.25">
      <c r="B33" s="123" t="s">
        <v>601</v>
      </c>
      <c r="C33" s="102"/>
    </row>
    <row r="34" spans="2:3" x14ac:dyDescent="0.25">
      <c r="B34" s="137" t="s">
        <v>603</v>
      </c>
    </row>
    <row r="36" spans="2:3" x14ac:dyDescent="0.25">
      <c r="B36" s="15" t="s">
        <v>30</v>
      </c>
    </row>
  </sheetData>
  <hyperlinks>
    <hyperlink ref="B36" location="Contents!A1" display="Back to contents" xr:uid="{330EBD2E-DEEA-42B9-B8BD-4F4B821385D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09CD3-0B5F-4C81-99FA-32BB49FF0660}">
  <sheetPr>
    <tabColor theme="0" tint="-4.9989318521683403E-2"/>
  </sheetPr>
  <dimension ref="B2:C56"/>
  <sheetViews>
    <sheetView zoomScaleNormal="100" workbookViewId="0"/>
  </sheetViews>
  <sheetFormatPr defaultColWidth="8.7109375" defaultRowHeight="15" x14ac:dyDescent="0.25"/>
  <cols>
    <col min="1" max="1" width="3.7109375" style="83" customWidth="1"/>
    <col min="2" max="2" width="87.85546875" style="83" customWidth="1"/>
    <col min="3" max="3" width="32.140625" style="83" customWidth="1"/>
    <col min="4" max="16384" width="8.7109375" style="83"/>
  </cols>
  <sheetData>
    <row r="2" spans="2:3" ht="15.75" x14ac:dyDescent="0.25">
      <c r="B2" s="125" t="s">
        <v>600</v>
      </c>
    </row>
    <row r="3" spans="2:3" ht="24" x14ac:dyDescent="0.25">
      <c r="B3" s="103" t="s">
        <v>524</v>
      </c>
      <c r="C3" s="104" t="s">
        <v>525</v>
      </c>
    </row>
    <row r="4" spans="2:3" x14ac:dyDescent="0.25">
      <c r="B4" s="126" t="s">
        <v>553</v>
      </c>
      <c r="C4" s="131">
        <v>1</v>
      </c>
    </row>
    <row r="5" spans="2:3" ht="17.25" customHeight="1" x14ac:dyDescent="0.25">
      <c r="B5" s="132" t="s">
        <v>531</v>
      </c>
      <c r="C5" s="133"/>
    </row>
    <row r="6" spans="2:3" x14ac:dyDescent="0.25">
      <c r="B6" s="126" t="s">
        <v>554</v>
      </c>
      <c r="C6" s="131">
        <v>6</v>
      </c>
    </row>
    <row r="7" spans="2:3" x14ac:dyDescent="0.25">
      <c r="B7" s="132" t="s">
        <v>555</v>
      </c>
      <c r="C7" s="131"/>
    </row>
    <row r="8" spans="2:3" x14ac:dyDescent="0.25">
      <c r="B8" s="132" t="s">
        <v>556</v>
      </c>
      <c r="C8" s="131"/>
    </row>
    <row r="9" spans="2:3" x14ac:dyDescent="0.25">
      <c r="B9" s="132" t="s">
        <v>557</v>
      </c>
      <c r="C9" s="131"/>
    </row>
    <row r="10" spans="2:3" x14ac:dyDescent="0.25">
      <c r="B10" s="132" t="s">
        <v>558</v>
      </c>
      <c r="C10" s="133"/>
    </row>
    <row r="11" spans="2:3" x14ac:dyDescent="0.25">
      <c r="B11" s="132" t="s">
        <v>559</v>
      </c>
      <c r="C11" s="133"/>
    </row>
    <row r="12" spans="2:3" x14ac:dyDescent="0.25">
      <c r="B12" s="132" t="s">
        <v>560</v>
      </c>
      <c r="C12" s="133"/>
    </row>
    <row r="13" spans="2:3" x14ac:dyDescent="0.25">
      <c r="B13" s="126" t="s">
        <v>532</v>
      </c>
      <c r="C13" s="131">
        <v>4</v>
      </c>
    </row>
    <row r="14" spans="2:3" x14ac:dyDescent="0.25">
      <c r="B14" s="132" t="s">
        <v>561</v>
      </c>
      <c r="C14" s="133"/>
    </row>
    <row r="15" spans="2:3" x14ac:dyDescent="0.25">
      <c r="B15" s="132" t="s">
        <v>562</v>
      </c>
      <c r="C15" s="133"/>
    </row>
    <row r="16" spans="2:3" ht="17.100000000000001" customHeight="1" x14ac:dyDescent="0.25">
      <c r="B16" s="132" t="s">
        <v>563</v>
      </c>
      <c r="C16" s="133"/>
    </row>
    <row r="17" spans="2:3" ht="18.600000000000001" customHeight="1" x14ac:dyDescent="0.25">
      <c r="B17" s="132" t="s">
        <v>513</v>
      </c>
      <c r="C17" s="133"/>
    </row>
    <row r="18" spans="2:3" x14ac:dyDescent="0.25">
      <c r="B18" s="126" t="s">
        <v>564</v>
      </c>
      <c r="C18" s="131">
        <v>1</v>
      </c>
    </row>
    <row r="19" spans="2:3" ht="15.95" customHeight="1" x14ac:dyDescent="0.25">
      <c r="B19" s="132" t="s">
        <v>565</v>
      </c>
      <c r="C19" s="133"/>
    </row>
    <row r="20" spans="2:3" x14ac:dyDescent="0.25">
      <c r="B20" s="126" t="s">
        <v>540</v>
      </c>
      <c r="C20" s="131">
        <v>9</v>
      </c>
    </row>
    <row r="21" spans="2:3" x14ac:dyDescent="0.25">
      <c r="B21" s="132" t="s">
        <v>566</v>
      </c>
      <c r="C21" s="133"/>
    </row>
    <row r="22" spans="2:3" x14ac:dyDescent="0.25">
      <c r="B22" s="132" t="s">
        <v>567</v>
      </c>
      <c r="C22" s="133"/>
    </row>
    <row r="23" spans="2:3" x14ac:dyDescent="0.25">
      <c r="B23" s="132" t="s">
        <v>568</v>
      </c>
      <c r="C23" s="133"/>
    </row>
    <row r="24" spans="2:3" ht="17.45" customHeight="1" x14ac:dyDescent="0.25">
      <c r="B24" s="132" t="s">
        <v>569</v>
      </c>
      <c r="C24" s="133"/>
    </row>
    <row r="25" spans="2:3" ht="15.95" customHeight="1" x14ac:dyDescent="0.25">
      <c r="B25" s="132" t="s">
        <v>570</v>
      </c>
      <c r="C25" s="133"/>
    </row>
    <row r="26" spans="2:3" x14ac:dyDescent="0.25">
      <c r="B26" s="132" t="s">
        <v>571</v>
      </c>
      <c r="C26" s="133"/>
    </row>
    <row r="27" spans="2:3" x14ac:dyDescent="0.25">
      <c r="B27" s="132" t="s">
        <v>572</v>
      </c>
      <c r="C27" s="133"/>
    </row>
    <row r="28" spans="2:3" x14ac:dyDescent="0.25">
      <c r="B28" s="132" t="s">
        <v>573</v>
      </c>
      <c r="C28" s="133"/>
    </row>
    <row r="29" spans="2:3" x14ac:dyDescent="0.25">
      <c r="B29" s="132" t="s">
        <v>574</v>
      </c>
      <c r="C29" s="133"/>
    </row>
    <row r="30" spans="2:3" x14ac:dyDescent="0.25">
      <c r="B30" s="126" t="s">
        <v>575</v>
      </c>
      <c r="C30" s="131">
        <v>3</v>
      </c>
    </row>
    <row r="31" spans="2:3" x14ac:dyDescent="0.25">
      <c r="B31" s="132" t="s">
        <v>576</v>
      </c>
      <c r="C31" s="131"/>
    </row>
    <row r="32" spans="2:3" ht="18" customHeight="1" x14ac:dyDescent="0.25">
      <c r="B32" s="132" t="s">
        <v>577</v>
      </c>
      <c r="C32" s="131"/>
    </row>
    <row r="33" spans="2:3" x14ac:dyDescent="0.25">
      <c r="B33" s="132" t="s">
        <v>578</v>
      </c>
      <c r="C33" s="133"/>
    </row>
    <row r="34" spans="2:3" x14ac:dyDescent="0.25">
      <c r="B34" s="126" t="s">
        <v>579</v>
      </c>
      <c r="C34" s="131">
        <v>1</v>
      </c>
    </row>
    <row r="35" spans="2:3" ht="14.45" customHeight="1" x14ac:dyDescent="0.25">
      <c r="B35" s="132" t="s">
        <v>505</v>
      </c>
      <c r="C35" s="133"/>
    </row>
    <row r="36" spans="2:3" x14ac:dyDescent="0.25">
      <c r="B36" s="126" t="s">
        <v>543</v>
      </c>
      <c r="C36" s="131">
        <v>3</v>
      </c>
    </row>
    <row r="37" spans="2:3" x14ac:dyDescent="0.25">
      <c r="B37" s="132" t="s">
        <v>580</v>
      </c>
      <c r="C37" s="131"/>
    </row>
    <row r="38" spans="2:3" x14ac:dyDescent="0.25">
      <c r="B38" s="132" t="s">
        <v>581</v>
      </c>
      <c r="C38" s="131"/>
    </row>
    <row r="39" spans="2:3" x14ac:dyDescent="0.25">
      <c r="B39" s="132" t="s">
        <v>582</v>
      </c>
      <c r="C39" s="133"/>
    </row>
    <row r="40" spans="2:3" x14ac:dyDescent="0.25">
      <c r="B40" s="126" t="s">
        <v>583</v>
      </c>
      <c r="C40" s="131">
        <v>1</v>
      </c>
    </row>
    <row r="41" spans="2:3" x14ac:dyDescent="0.25">
      <c r="B41" s="132" t="s">
        <v>584</v>
      </c>
      <c r="C41" s="133"/>
    </row>
    <row r="42" spans="2:3" x14ac:dyDescent="0.25">
      <c r="B42" s="132" t="s">
        <v>585</v>
      </c>
      <c r="C42" s="133"/>
    </row>
    <row r="43" spans="2:3" x14ac:dyDescent="0.25">
      <c r="B43" s="126" t="s">
        <v>586</v>
      </c>
      <c r="C43" s="131">
        <v>3</v>
      </c>
    </row>
    <row r="44" spans="2:3" x14ac:dyDescent="0.25">
      <c r="B44" s="132" t="s">
        <v>587</v>
      </c>
      <c r="C44" s="131"/>
    </row>
    <row r="45" spans="2:3" x14ac:dyDescent="0.25">
      <c r="B45" s="132" t="s">
        <v>588</v>
      </c>
      <c r="C45" s="131"/>
    </row>
    <row r="46" spans="2:3" x14ac:dyDescent="0.25">
      <c r="B46" s="132" t="s">
        <v>589</v>
      </c>
      <c r="C46" s="133"/>
    </row>
    <row r="47" spans="2:3" x14ac:dyDescent="0.25">
      <c r="B47" s="126" t="s">
        <v>590</v>
      </c>
      <c r="C47" s="131">
        <v>3</v>
      </c>
    </row>
    <row r="48" spans="2:3" x14ac:dyDescent="0.25">
      <c r="B48" s="132" t="s">
        <v>591</v>
      </c>
      <c r="C48" s="133"/>
    </row>
    <row r="49" spans="2:3" x14ac:dyDescent="0.25">
      <c r="B49" s="132" t="s">
        <v>592</v>
      </c>
      <c r="C49" s="133"/>
    </row>
    <row r="50" spans="2:3" ht="18.600000000000001" customHeight="1" x14ac:dyDescent="0.25">
      <c r="B50" s="132" t="s">
        <v>593</v>
      </c>
      <c r="C50" s="133"/>
    </row>
    <row r="51" spans="2:3" x14ac:dyDescent="0.25">
      <c r="B51" s="126" t="s">
        <v>594</v>
      </c>
      <c r="C51" s="133">
        <v>1</v>
      </c>
    </row>
    <row r="52" spans="2:3" x14ac:dyDescent="0.25">
      <c r="B52" s="132" t="s">
        <v>595</v>
      </c>
      <c r="C52" s="133"/>
    </row>
    <row r="53" spans="2:3" x14ac:dyDescent="0.25">
      <c r="B53" s="105" t="s">
        <v>551</v>
      </c>
      <c r="C53" s="106">
        <v>36</v>
      </c>
    </row>
    <row r="54" spans="2:3" x14ac:dyDescent="0.25">
      <c r="B54" s="123" t="s">
        <v>552</v>
      </c>
      <c r="C54" s="102"/>
    </row>
    <row r="56" spans="2:3" x14ac:dyDescent="0.25">
      <c r="B56" s="15" t="s">
        <v>30</v>
      </c>
    </row>
  </sheetData>
  <hyperlinks>
    <hyperlink ref="B56" location="Contents!A1" display="Back to contents" xr:uid="{D492FD34-C4DE-49ED-BC10-2C3432BB3686}"/>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36FD-8ADF-4C57-BBDA-05CD5A57280E}">
  <sheetPr>
    <tabColor theme="0" tint="-4.9989318521683403E-2"/>
  </sheetPr>
  <dimension ref="A1:AK268"/>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6.140625" style="8" customWidth="1"/>
    <col min="3" max="3" width="105" style="8" customWidth="1"/>
    <col min="4" max="16" width="8.7109375" style="53" customWidth="1"/>
    <col min="17" max="17" width="10.7109375" style="9" customWidth="1"/>
    <col min="18" max="18" width="10.7109375" style="17" customWidth="1"/>
    <col min="19" max="19" width="152.7109375" style="8" bestFit="1" customWidth="1"/>
    <col min="20" max="20" width="8.85546875" style="11"/>
    <col min="21" max="21" width="8.85546875" style="11" customWidth="1"/>
    <col min="22" max="34" width="8.85546875" style="11" bestFit="1"/>
    <col min="35" max="16384" width="8.85546875" style="11"/>
  </cols>
  <sheetData>
    <row r="1" spans="1:33" ht="12" customHeight="1" x14ac:dyDescent="0.25">
      <c r="B1" s="139"/>
      <c r="C1" s="139"/>
      <c r="D1" s="139"/>
      <c r="E1" s="139"/>
      <c r="F1" s="139"/>
    </row>
    <row r="2" spans="1:33" ht="24.95" customHeight="1" x14ac:dyDescent="0.25">
      <c r="B2" s="18" t="s">
        <v>383</v>
      </c>
    </row>
    <row r="3" spans="1:33" s="13" customFormat="1" ht="24.95" customHeight="1" x14ac:dyDescent="0.25">
      <c r="A3" s="12"/>
      <c r="B3" s="1" t="s">
        <v>4</v>
      </c>
      <c r="C3" s="1" t="s">
        <v>5</v>
      </c>
      <c r="D3" s="54" t="s">
        <v>471</v>
      </c>
      <c r="E3" s="54" t="s">
        <v>618</v>
      </c>
      <c r="F3" s="54" t="s">
        <v>619</v>
      </c>
      <c r="G3" s="54" t="s">
        <v>620</v>
      </c>
      <c r="H3" s="54" t="s">
        <v>621</v>
      </c>
      <c r="I3" s="54" t="s">
        <v>622</v>
      </c>
      <c r="J3" s="54" t="s">
        <v>623</v>
      </c>
      <c r="K3" s="54" t="s">
        <v>624</v>
      </c>
      <c r="L3" s="54" t="s">
        <v>625</v>
      </c>
      <c r="M3" s="54" t="s">
        <v>626</v>
      </c>
      <c r="N3" s="54" t="s">
        <v>627</v>
      </c>
      <c r="O3" s="54" t="s">
        <v>628</v>
      </c>
      <c r="P3" s="138" t="s">
        <v>629</v>
      </c>
      <c r="Q3" s="2" t="s">
        <v>6</v>
      </c>
      <c r="R3" s="2" t="s">
        <v>7</v>
      </c>
      <c r="S3" s="1" t="s">
        <v>8</v>
      </c>
    </row>
    <row r="4" spans="1:33" ht="15" customHeight="1" x14ac:dyDescent="0.25">
      <c r="B4" s="81" t="s">
        <v>97</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c r="U4" s="53"/>
      <c r="V4" s="53"/>
      <c r="W4" s="53"/>
      <c r="X4" s="53"/>
      <c r="Y4" s="53"/>
      <c r="Z4" s="53"/>
      <c r="AA4" s="53"/>
      <c r="AB4" s="53"/>
      <c r="AC4" s="53"/>
      <c r="AD4" s="53"/>
      <c r="AE4" s="53"/>
      <c r="AF4" s="53"/>
      <c r="AG4" s="53"/>
    </row>
    <row r="5" spans="1:33" ht="15" customHeight="1" x14ac:dyDescent="0.25">
      <c r="B5" s="135" t="str">
        <f>HYPERLINK("https://www.pbo.gov.au/elections/2025-general-election/2025-election-commitments-costings/Abolish-family-car-and-ute-tax", "ECR-2025-2551")</f>
        <v>ECR-2025-2551</v>
      </c>
      <c r="C5" s="59" t="s">
        <v>229</v>
      </c>
      <c r="D5" s="60">
        <v>25.2</v>
      </c>
      <c r="E5" s="60">
        <v>90.2</v>
      </c>
      <c r="F5" s="60">
        <v>236.2</v>
      </c>
      <c r="G5" s="60">
        <v>248.3</v>
      </c>
      <c r="H5" s="60">
        <v>259.39999999999998</v>
      </c>
      <c r="I5" s="60">
        <v>276.39999999999998</v>
      </c>
      <c r="J5" s="60">
        <v>282.5</v>
      </c>
      <c r="K5" s="60">
        <v>294.60000000000002</v>
      </c>
      <c r="L5" s="60">
        <v>306.7</v>
      </c>
      <c r="M5" s="60">
        <v>319.7</v>
      </c>
      <c r="N5" s="60">
        <v>332.8</v>
      </c>
      <c r="O5" s="60">
        <v>599.9</v>
      </c>
      <c r="P5" s="60">
        <v>2672</v>
      </c>
      <c r="Q5" s="64"/>
      <c r="R5" s="64"/>
      <c r="S5" s="59" t="s">
        <v>288</v>
      </c>
      <c r="U5" s="53"/>
      <c r="V5" s="53"/>
      <c r="W5" s="53"/>
      <c r="X5" s="53"/>
      <c r="Y5" s="53"/>
      <c r="Z5" s="53"/>
      <c r="AA5" s="53"/>
      <c r="AB5" s="53"/>
      <c r="AC5" s="53"/>
      <c r="AD5" s="53"/>
      <c r="AE5" s="53"/>
      <c r="AF5" s="53"/>
      <c r="AG5" s="53"/>
    </row>
    <row r="6" spans="1:33" ht="15" customHeight="1" x14ac:dyDescent="0.25">
      <c r="B6" s="59" t="s">
        <v>110</v>
      </c>
      <c r="C6" s="59" t="s">
        <v>391</v>
      </c>
      <c r="D6" s="60">
        <v>0</v>
      </c>
      <c r="E6" s="60">
        <v>0</v>
      </c>
      <c r="F6" s="60">
        <v>0</v>
      </c>
      <c r="G6" s="60">
        <v>0</v>
      </c>
      <c r="H6" s="60">
        <v>0</v>
      </c>
      <c r="I6" s="60">
        <v>0</v>
      </c>
      <c r="J6" s="60">
        <v>0</v>
      </c>
      <c r="K6" s="60">
        <v>0</v>
      </c>
      <c r="L6" s="60">
        <v>0</v>
      </c>
      <c r="M6" s="60">
        <v>0</v>
      </c>
      <c r="N6" s="60">
        <v>0</v>
      </c>
      <c r="O6" s="60">
        <v>0</v>
      </c>
      <c r="P6" s="60">
        <v>0</v>
      </c>
      <c r="Q6" s="64"/>
      <c r="R6" s="64"/>
      <c r="S6" s="59" t="s">
        <v>289</v>
      </c>
      <c r="U6" s="53"/>
      <c r="V6" s="53"/>
      <c r="W6" s="53"/>
      <c r="X6" s="53"/>
      <c r="Y6" s="53"/>
      <c r="Z6" s="53"/>
      <c r="AA6" s="53"/>
      <c r="AB6" s="53"/>
      <c r="AC6" s="53"/>
      <c r="AD6" s="53"/>
      <c r="AE6" s="53"/>
      <c r="AF6" s="53"/>
      <c r="AG6" s="53"/>
    </row>
    <row r="7" spans="1:33" ht="15" customHeight="1" x14ac:dyDescent="0.25">
      <c r="B7" s="135" t="str">
        <f>HYPERLINK("https://www.pbo.gov.au/elections/2025-general-election/2025-election-commitments-costings/adjust-fuel-excise-25c-litre-reduction", "ECR-2025-2457")</f>
        <v>ECR-2025-2457</v>
      </c>
      <c r="C7" s="59" t="s">
        <v>412</v>
      </c>
      <c r="D7" s="60">
        <v>-7449.2</v>
      </c>
      <c r="E7" s="60">
        <v>1502.3</v>
      </c>
      <c r="F7" s="60">
        <v>0</v>
      </c>
      <c r="G7" s="60">
        <v>0</v>
      </c>
      <c r="H7" s="60">
        <v>0</v>
      </c>
      <c r="I7" s="60">
        <v>0</v>
      </c>
      <c r="J7" s="60">
        <v>0</v>
      </c>
      <c r="K7" s="60">
        <v>0</v>
      </c>
      <c r="L7" s="60">
        <v>0</v>
      </c>
      <c r="M7" s="60">
        <v>0</v>
      </c>
      <c r="N7" s="60">
        <v>0</v>
      </c>
      <c r="O7" s="60">
        <v>-5946.9</v>
      </c>
      <c r="P7" s="60">
        <v>-5946.9</v>
      </c>
      <c r="Q7" s="64"/>
      <c r="R7" s="64"/>
      <c r="S7" s="59" t="s">
        <v>290</v>
      </c>
      <c r="U7" s="53"/>
      <c r="V7" s="53"/>
      <c r="W7" s="53"/>
      <c r="X7" s="53"/>
      <c r="Y7" s="53"/>
      <c r="Z7" s="53"/>
      <c r="AA7" s="53"/>
      <c r="AB7" s="53"/>
      <c r="AC7" s="53"/>
      <c r="AD7" s="53"/>
      <c r="AE7" s="53"/>
      <c r="AF7" s="53"/>
      <c r="AG7" s="53"/>
    </row>
    <row r="8" spans="1:33" ht="15" customHeight="1" x14ac:dyDescent="0.25">
      <c r="B8" s="135" t="str">
        <f>HYPERLINK("https://www.pbo.gov.au/elections/2025-general-election/2025-election-commitments-costings/annualisation-general-social-survey-measuring-what-matters-reverse", "ECR-2025-2527")</f>
        <v>ECR-2025-2527</v>
      </c>
      <c r="C8" s="59" t="s">
        <v>152</v>
      </c>
      <c r="D8" s="60">
        <v>3.4</v>
      </c>
      <c r="E8" s="60">
        <v>3.6</v>
      </c>
      <c r="F8" s="60">
        <v>3.6</v>
      </c>
      <c r="G8" s="60">
        <v>3.6</v>
      </c>
      <c r="H8" s="60">
        <v>3.7</v>
      </c>
      <c r="I8" s="60">
        <v>3.8</v>
      </c>
      <c r="J8" s="60">
        <v>3.9</v>
      </c>
      <c r="K8" s="60">
        <v>4</v>
      </c>
      <c r="L8" s="60">
        <v>4.0999999999999996</v>
      </c>
      <c r="M8" s="60">
        <v>4.2</v>
      </c>
      <c r="N8" s="60">
        <v>4.3</v>
      </c>
      <c r="O8" s="60">
        <v>14.2</v>
      </c>
      <c r="P8" s="60">
        <v>42.2</v>
      </c>
      <c r="Q8" s="64"/>
      <c r="R8" s="64"/>
      <c r="S8" s="59" t="s">
        <v>261</v>
      </c>
      <c r="U8" s="53"/>
      <c r="V8" s="53"/>
      <c r="W8" s="53"/>
      <c r="X8" s="53"/>
      <c r="Y8" s="53"/>
      <c r="Z8" s="53"/>
      <c r="AA8" s="53"/>
      <c r="AB8" s="53"/>
      <c r="AC8" s="53"/>
      <c r="AD8" s="53"/>
      <c r="AE8" s="53"/>
      <c r="AF8" s="53"/>
      <c r="AG8" s="53"/>
    </row>
    <row r="9" spans="1:33" ht="15" customHeight="1" x14ac:dyDescent="0.25">
      <c r="B9" s="135" t="str">
        <f>HYPERLINK("https://www.pbo.gov.au/elections/2025-general-election/2025-election-commitments-costings/australian-small-business-and-family-enterprise-ombudsman", "ECR-2025-2449")</f>
        <v>ECR-2025-2449</v>
      </c>
      <c r="C9" s="59" t="s">
        <v>203</v>
      </c>
      <c r="D9" s="60">
        <v>-8</v>
      </c>
      <c r="E9" s="60">
        <v>-1.5</v>
      </c>
      <c r="F9" s="60">
        <v>-1.3</v>
      </c>
      <c r="G9" s="60">
        <v>-1.3</v>
      </c>
      <c r="H9" s="60">
        <v>-1.4</v>
      </c>
      <c r="I9" s="60">
        <v>-1.4</v>
      </c>
      <c r="J9" s="60">
        <v>-1.4</v>
      </c>
      <c r="K9" s="60">
        <v>-1.4</v>
      </c>
      <c r="L9" s="60">
        <v>-1.4</v>
      </c>
      <c r="M9" s="60">
        <v>-1.5</v>
      </c>
      <c r="N9" s="60">
        <v>-1.5</v>
      </c>
      <c r="O9" s="60">
        <v>-12.1</v>
      </c>
      <c r="P9" s="60">
        <v>-22.1</v>
      </c>
      <c r="Q9" s="64"/>
      <c r="R9" s="64"/>
      <c r="S9" s="59" t="s">
        <v>291</v>
      </c>
      <c r="U9" s="53"/>
      <c r="V9" s="53"/>
      <c r="W9" s="53"/>
      <c r="X9" s="53"/>
      <c r="Y9" s="53"/>
      <c r="Z9" s="53"/>
      <c r="AA9" s="53"/>
      <c r="AB9" s="53"/>
      <c r="AC9" s="53"/>
      <c r="AD9" s="53"/>
      <c r="AE9" s="53"/>
      <c r="AF9" s="53"/>
      <c r="AG9" s="53"/>
    </row>
    <row r="10" spans="1:33" ht="15" customHeight="1" x14ac:dyDescent="0.25">
      <c r="B10" s="135" t="str">
        <f>HYPERLINK("https://www.pbo.gov.au/elections/2025-general-election/2025-election-commitments-costings/australian-tertiary-education-commission-not-proceeding", "ECR-2025-2402")</f>
        <v>ECR-2025-2402</v>
      </c>
      <c r="C10" s="59" t="s">
        <v>146</v>
      </c>
      <c r="D10" s="60">
        <v>5.4</v>
      </c>
      <c r="E10" s="60">
        <v>6</v>
      </c>
      <c r="F10" s="60">
        <v>6</v>
      </c>
      <c r="G10" s="60">
        <v>5.6</v>
      </c>
      <c r="H10" s="60">
        <v>5.6</v>
      </c>
      <c r="I10" s="60">
        <v>4.3</v>
      </c>
      <c r="J10" s="60">
        <v>4.8</v>
      </c>
      <c r="K10" s="60">
        <v>4.4000000000000004</v>
      </c>
      <c r="L10" s="60">
        <v>4.5</v>
      </c>
      <c r="M10" s="60">
        <v>4.5</v>
      </c>
      <c r="N10" s="60">
        <v>4.5999999999999996</v>
      </c>
      <c r="O10" s="60">
        <v>23</v>
      </c>
      <c r="P10" s="60">
        <v>55.7</v>
      </c>
      <c r="Q10" s="64"/>
      <c r="R10" s="64"/>
      <c r="S10" s="59" t="s">
        <v>292</v>
      </c>
      <c r="U10" s="53"/>
      <c r="V10" s="53"/>
      <c r="W10" s="53"/>
      <c r="X10" s="53"/>
      <c r="Y10" s="53"/>
      <c r="Z10" s="53"/>
      <c r="AA10" s="53"/>
      <c r="AB10" s="53"/>
      <c r="AC10" s="53"/>
      <c r="AD10" s="53"/>
      <c r="AE10" s="53"/>
      <c r="AF10" s="53"/>
      <c r="AG10" s="53"/>
    </row>
    <row r="11" spans="1:33" ht="15" customHeight="1" x14ac:dyDescent="0.25">
      <c r="B11" s="135" t="str">
        <f>HYPERLINK("https://www.pbo.gov.au/elections/2025-general-election/2025-election-commitments-costings/cease-duplicative-research-activities-climate-change-authority", "ECR-2025-2493")</f>
        <v>ECR-2025-2493</v>
      </c>
      <c r="C11" s="59" t="s">
        <v>142</v>
      </c>
      <c r="D11" s="60">
        <v>2.8</v>
      </c>
      <c r="E11" s="60">
        <v>2.8</v>
      </c>
      <c r="F11" s="60">
        <v>2.8</v>
      </c>
      <c r="G11" s="60">
        <v>2.8</v>
      </c>
      <c r="H11" s="60">
        <v>2.8</v>
      </c>
      <c r="I11" s="60">
        <v>2.8</v>
      </c>
      <c r="J11" s="60">
        <v>2.9</v>
      </c>
      <c r="K11" s="60">
        <v>2.9</v>
      </c>
      <c r="L11" s="60">
        <v>2.9</v>
      </c>
      <c r="M11" s="60">
        <v>2.9</v>
      </c>
      <c r="N11" s="60">
        <v>3</v>
      </c>
      <c r="O11" s="60">
        <v>11.2</v>
      </c>
      <c r="P11" s="60">
        <v>31.4</v>
      </c>
      <c r="Q11" s="64"/>
      <c r="R11" s="64"/>
      <c r="S11" s="59" t="s">
        <v>261</v>
      </c>
      <c r="U11" s="53"/>
      <c r="V11" s="53"/>
      <c r="W11" s="53"/>
      <c r="X11" s="53"/>
      <c r="Y11" s="53"/>
      <c r="Z11" s="53"/>
      <c r="AA11" s="53"/>
      <c r="AB11" s="53"/>
      <c r="AC11" s="53"/>
      <c r="AD11" s="53"/>
      <c r="AE11" s="53"/>
      <c r="AF11" s="53"/>
      <c r="AG11" s="53"/>
    </row>
    <row r="12" spans="1:33" ht="15" customHeight="1" x14ac:dyDescent="0.25">
      <c r="B12" s="135" t="str">
        <f>HYPERLINK("https://www.pbo.gov.au/elections/2025-general-election/2025-election-commitments-costings/deliver-national-gas-plan-cease-funding-environmental-defenders-office", "ECR-2025-2786")</f>
        <v>ECR-2025-2786</v>
      </c>
      <c r="C12" s="59" t="s">
        <v>201</v>
      </c>
      <c r="D12" s="60">
        <v>0</v>
      </c>
      <c r="E12" s="60">
        <v>0</v>
      </c>
      <c r="F12" s="60">
        <v>2.2000000000000002</v>
      </c>
      <c r="G12" s="60">
        <v>2.2999999999999998</v>
      </c>
      <c r="H12" s="60">
        <v>2.2999999999999998</v>
      </c>
      <c r="I12" s="60">
        <v>2.4</v>
      </c>
      <c r="J12" s="60">
        <v>2.4</v>
      </c>
      <c r="K12" s="60">
        <v>2.5</v>
      </c>
      <c r="L12" s="60">
        <v>2.5</v>
      </c>
      <c r="M12" s="60">
        <v>2.6</v>
      </c>
      <c r="N12" s="60">
        <v>2.6</v>
      </c>
      <c r="O12" s="60">
        <v>4.5</v>
      </c>
      <c r="P12" s="60">
        <v>21.8</v>
      </c>
      <c r="Q12" s="64"/>
      <c r="R12" s="64"/>
      <c r="S12" s="59" t="s">
        <v>276</v>
      </c>
      <c r="U12" s="53"/>
      <c r="V12" s="53"/>
      <c r="W12" s="53"/>
      <c r="X12" s="53"/>
      <c r="Y12" s="53"/>
      <c r="Z12" s="53"/>
      <c r="AA12" s="53"/>
      <c r="AB12" s="53"/>
      <c r="AC12" s="53"/>
      <c r="AD12" s="53"/>
      <c r="AE12" s="53"/>
      <c r="AF12" s="53"/>
      <c r="AG12" s="53"/>
    </row>
    <row r="13" spans="1:33" ht="15" customHeight="1" x14ac:dyDescent="0.25">
      <c r="B13" s="135" t="str">
        <f>HYPERLINK("https://www.pbo.gov.au/elections/2025-general-election/2025-election-commitments-costings/cease-undersubscribed-covid-era-securitisation-measures", "ECR-2025-2065")</f>
        <v>ECR-2025-2065</v>
      </c>
      <c r="C13" s="59" t="s">
        <v>194</v>
      </c>
      <c r="D13" s="60">
        <v>-61.3</v>
      </c>
      <c r="E13" s="60">
        <v>111.7</v>
      </c>
      <c r="F13" s="60">
        <v>115.7</v>
      </c>
      <c r="G13" s="60">
        <v>122.9</v>
      </c>
      <c r="H13" s="60">
        <v>128</v>
      </c>
      <c r="I13" s="60">
        <v>134</v>
      </c>
      <c r="J13" s="60">
        <v>140</v>
      </c>
      <c r="K13" s="60">
        <v>146.1</v>
      </c>
      <c r="L13" s="60">
        <v>153.1</v>
      </c>
      <c r="M13" s="60">
        <v>160.19999999999999</v>
      </c>
      <c r="N13" s="60">
        <v>184.2</v>
      </c>
      <c r="O13" s="60">
        <v>289</v>
      </c>
      <c r="P13" s="60">
        <v>1334.6</v>
      </c>
      <c r="Q13" s="64"/>
      <c r="R13" s="64"/>
      <c r="S13" s="59" t="s">
        <v>261</v>
      </c>
      <c r="U13" s="53"/>
      <c r="V13" s="53"/>
      <c r="W13" s="53"/>
      <c r="X13" s="53"/>
      <c r="Y13" s="53"/>
      <c r="Z13" s="53"/>
      <c r="AA13" s="53"/>
      <c r="AB13" s="53"/>
      <c r="AC13" s="53"/>
      <c r="AD13" s="53"/>
      <c r="AE13" s="53"/>
      <c r="AF13" s="53"/>
      <c r="AG13" s="53"/>
    </row>
    <row r="14" spans="1:33" ht="15" customHeight="1" x14ac:dyDescent="0.25">
      <c r="B14" s="135" t="str">
        <f>HYPERLINK("https://www.pbo.gov.au/elections/2025-general-election/2025-election-commitments-costings/Cost%20of%20Living%20Tax%20Offset", "ECR-2025-2666")</f>
        <v>ECR-2025-2666</v>
      </c>
      <c r="C14" s="59" t="s">
        <v>218</v>
      </c>
      <c r="D14" s="60">
        <v>0</v>
      </c>
      <c r="E14" s="60">
        <v>-10700</v>
      </c>
      <c r="F14" s="60">
        <v>-600</v>
      </c>
      <c r="G14" s="60">
        <v>0</v>
      </c>
      <c r="H14" s="60">
        <v>0</v>
      </c>
      <c r="I14" s="60">
        <v>0</v>
      </c>
      <c r="J14" s="60">
        <v>0</v>
      </c>
      <c r="K14" s="60">
        <v>0</v>
      </c>
      <c r="L14" s="60">
        <v>0</v>
      </c>
      <c r="M14" s="60">
        <v>0</v>
      </c>
      <c r="N14" s="60">
        <v>0</v>
      </c>
      <c r="O14" s="60">
        <v>-11300</v>
      </c>
      <c r="P14" s="60">
        <v>-11300</v>
      </c>
      <c r="Q14" s="64"/>
      <c r="R14" s="64"/>
      <c r="S14" s="59" t="s">
        <v>293</v>
      </c>
      <c r="U14" s="53"/>
      <c r="V14" s="53"/>
      <c r="W14" s="53"/>
      <c r="X14" s="53"/>
      <c r="Y14" s="53"/>
      <c r="Z14" s="53"/>
      <c r="AA14" s="53"/>
      <c r="AB14" s="53"/>
      <c r="AC14" s="53"/>
      <c r="AD14" s="53"/>
      <c r="AE14" s="53"/>
      <c r="AF14" s="53"/>
      <c r="AG14" s="53"/>
    </row>
    <row r="15" spans="1:33" ht="15" customHeight="1" x14ac:dyDescent="0.25">
      <c r="B15" s="59" t="s">
        <v>111</v>
      </c>
      <c r="C15" s="59" t="s">
        <v>413</v>
      </c>
      <c r="D15" s="60">
        <v>0</v>
      </c>
      <c r="E15" s="60">
        <v>0</v>
      </c>
      <c r="F15" s="60">
        <v>0</v>
      </c>
      <c r="G15" s="60">
        <v>0</v>
      </c>
      <c r="H15" s="60">
        <v>0</v>
      </c>
      <c r="I15" s="60">
        <v>0</v>
      </c>
      <c r="J15" s="60">
        <v>0</v>
      </c>
      <c r="K15" s="60">
        <v>0</v>
      </c>
      <c r="L15" s="60">
        <v>0</v>
      </c>
      <c r="M15" s="60">
        <v>0</v>
      </c>
      <c r="N15" s="60">
        <v>0</v>
      </c>
      <c r="O15" s="60">
        <v>0</v>
      </c>
      <c r="P15" s="60">
        <v>0</v>
      </c>
      <c r="Q15" s="64"/>
      <c r="R15" s="64"/>
      <c r="S15" s="59" t="s">
        <v>294</v>
      </c>
      <c r="U15" s="53"/>
      <c r="V15" s="53"/>
      <c r="W15" s="53"/>
      <c r="X15" s="53"/>
      <c r="Y15" s="53"/>
      <c r="Z15" s="53"/>
      <c r="AA15" s="53"/>
      <c r="AB15" s="53"/>
      <c r="AC15" s="53"/>
      <c r="AD15" s="53"/>
      <c r="AE15" s="53"/>
      <c r="AF15" s="53"/>
      <c r="AG15" s="53"/>
    </row>
    <row r="16" spans="1:33" ht="15" customHeight="1" x14ac:dyDescent="0.25">
      <c r="B16" s="59" t="s">
        <v>113</v>
      </c>
      <c r="C16" s="59" t="s">
        <v>414</v>
      </c>
      <c r="D16" s="60">
        <v>0</v>
      </c>
      <c r="E16" s="60">
        <v>0</v>
      </c>
      <c r="F16" s="60">
        <v>0</v>
      </c>
      <c r="G16" s="60">
        <v>0</v>
      </c>
      <c r="H16" s="60">
        <v>0</v>
      </c>
      <c r="I16" s="60">
        <v>0</v>
      </c>
      <c r="J16" s="60">
        <v>0</v>
      </c>
      <c r="K16" s="60">
        <v>0</v>
      </c>
      <c r="L16" s="60">
        <v>0</v>
      </c>
      <c r="M16" s="60">
        <v>0</v>
      </c>
      <c r="N16" s="60">
        <v>0</v>
      </c>
      <c r="O16" s="60">
        <v>0</v>
      </c>
      <c r="P16" s="60">
        <v>0</v>
      </c>
      <c r="Q16" s="64"/>
      <c r="R16" s="64"/>
      <c r="S16" s="59" t="s">
        <v>261</v>
      </c>
      <c r="U16" s="53"/>
      <c r="V16" s="53"/>
      <c r="W16" s="53"/>
      <c r="X16" s="53"/>
      <c r="Y16" s="53"/>
      <c r="Z16" s="53"/>
      <c r="AA16" s="53"/>
      <c r="AB16" s="53"/>
      <c r="AC16" s="53"/>
      <c r="AD16" s="53"/>
      <c r="AE16" s="53"/>
      <c r="AF16" s="53"/>
      <c r="AG16" s="53"/>
    </row>
    <row r="17" spans="2:33" ht="15" customHeight="1" x14ac:dyDescent="0.25">
      <c r="B17" s="135" t="str">
        <f>HYPERLINK("https://www.pbo.gov.au/elections/2025-general-election/2025-election-commitments-costings/critical-minerals-production-tax-credits-do-not-proceed", "ECR-2025-2198")</f>
        <v>ECR-2025-2198</v>
      </c>
      <c r="C17" s="59" t="s">
        <v>145</v>
      </c>
      <c r="D17" s="60">
        <v>0</v>
      </c>
      <c r="E17" s="60">
        <v>0</v>
      </c>
      <c r="F17" s="60">
        <v>287.89999999999998</v>
      </c>
      <c r="G17" s="60">
        <v>923.2</v>
      </c>
      <c r="H17" s="60">
        <v>963.2</v>
      </c>
      <c r="I17" s="60">
        <v>1083.3</v>
      </c>
      <c r="J17" s="60">
        <v>1173.3</v>
      </c>
      <c r="K17" s="60">
        <v>1233.4000000000001</v>
      </c>
      <c r="L17" s="60">
        <v>1303.4000000000001</v>
      </c>
      <c r="M17" s="60">
        <v>1383.4</v>
      </c>
      <c r="N17" s="60">
        <v>1553.5</v>
      </c>
      <c r="O17" s="60">
        <v>1211.0999999999999</v>
      </c>
      <c r="P17" s="60">
        <v>9904.6</v>
      </c>
      <c r="Q17" s="64"/>
      <c r="R17" s="64"/>
      <c r="S17" s="59" t="s">
        <v>261</v>
      </c>
      <c r="U17" s="53"/>
      <c r="V17" s="53"/>
      <c r="W17" s="53"/>
      <c r="X17" s="53"/>
      <c r="Y17" s="53"/>
      <c r="Z17" s="53"/>
      <c r="AA17" s="53"/>
      <c r="AB17" s="53"/>
      <c r="AC17" s="53"/>
      <c r="AD17" s="53"/>
      <c r="AE17" s="53"/>
      <c r="AF17" s="53"/>
      <c r="AG17" s="53"/>
    </row>
    <row r="18" spans="2:33" ht="15" customHeight="1" x14ac:dyDescent="0.25">
      <c r="B18" s="135" t="str">
        <f>HYPERLINK("https://www.pbo.gov.au/elections/2025-general-election/2025-election-commitments-costings/ditrdca-net-zero-unit-and-maritime-strategic-fleet-reprioritisation", "ECR-2025-2522")</f>
        <v>ECR-2025-2522</v>
      </c>
      <c r="C18" s="59" t="s">
        <v>246</v>
      </c>
      <c r="D18" s="60">
        <v>2</v>
      </c>
      <c r="E18" s="60">
        <v>2.1</v>
      </c>
      <c r="F18" s="60">
        <v>2.1</v>
      </c>
      <c r="G18" s="60">
        <v>2.1</v>
      </c>
      <c r="H18" s="60">
        <v>2.2000000000000002</v>
      </c>
      <c r="I18" s="60">
        <v>2.2000000000000002</v>
      </c>
      <c r="J18" s="60">
        <v>2.2000000000000002</v>
      </c>
      <c r="K18" s="60">
        <v>2.2000000000000002</v>
      </c>
      <c r="L18" s="60">
        <v>2.2999999999999998</v>
      </c>
      <c r="M18" s="60">
        <v>2.2999999999999998</v>
      </c>
      <c r="N18" s="60">
        <v>2.2999999999999998</v>
      </c>
      <c r="O18" s="60">
        <v>8.3000000000000007</v>
      </c>
      <c r="P18" s="60">
        <v>24</v>
      </c>
      <c r="Q18" s="64"/>
      <c r="R18" s="64"/>
      <c r="S18" s="59" t="s">
        <v>261</v>
      </c>
      <c r="U18" s="53"/>
      <c r="V18" s="53"/>
      <c r="W18" s="53"/>
      <c r="X18" s="53"/>
      <c r="Y18" s="53"/>
      <c r="Z18" s="53"/>
      <c r="AA18" s="53"/>
      <c r="AB18" s="53"/>
      <c r="AC18" s="53"/>
      <c r="AD18" s="53"/>
      <c r="AE18" s="53"/>
      <c r="AF18" s="53"/>
      <c r="AG18" s="53"/>
    </row>
    <row r="19" spans="2:33" ht="15" customHeight="1" x14ac:dyDescent="0.25">
      <c r="B19" s="135" t="str">
        <f>HYPERLINK("https://www.pbo.gov.au/elections/2025-general-election/2025-election-commitments-costings/Early%E2%80%91stage%20venture%20capital%20cap%20and%20venture%20capital%20cap%20%E2%80%93%20increase%20and%20index", "ECR-2025-2096")</f>
        <v>ECR-2025-2096</v>
      </c>
      <c r="C19" s="59" t="s">
        <v>415</v>
      </c>
      <c r="D19" s="60" t="s">
        <v>11</v>
      </c>
      <c r="E19" s="60" t="s">
        <v>11</v>
      </c>
      <c r="F19" s="60" t="s">
        <v>11</v>
      </c>
      <c r="G19" s="60" t="s">
        <v>11</v>
      </c>
      <c r="H19" s="60" t="s">
        <v>11</v>
      </c>
      <c r="I19" s="60" t="s">
        <v>11</v>
      </c>
      <c r="J19" s="60" t="s">
        <v>11</v>
      </c>
      <c r="K19" s="60" t="s">
        <v>11</v>
      </c>
      <c r="L19" s="60" t="s">
        <v>11</v>
      </c>
      <c r="M19" s="60" t="s">
        <v>11</v>
      </c>
      <c r="N19" s="60" t="s">
        <v>11</v>
      </c>
      <c r="O19" s="60" t="s">
        <v>11</v>
      </c>
      <c r="P19" s="60" t="s">
        <v>11</v>
      </c>
      <c r="Q19" s="64"/>
      <c r="R19" s="64"/>
      <c r="S19" s="59" t="s">
        <v>291</v>
      </c>
      <c r="U19" s="53"/>
      <c r="V19" s="53"/>
      <c r="W19" s="53"/>
      <c r="X19" s="53"/>
      <c r="Y19" s="53"/>
      <c r="Z19" s="53"/>
      <c r="AA19" s="53"/>
      <c r="AB19" s="53"/>
      <c r="AC19" s="53"/>
      <c r="AD19" s="53"/>
      <c r="AE19" s="53"/>
      <c r="AF19" s="53"/>
      <c r="AG19" s="53"/>
    </row>
    <row r="20" spans="2:33" ht="15" customHeight="1" x14ac:dyDescent="0.25">
      <c r="B20" s="135" t="str">
        <f>HYPERLINK("https://www.pbo.gov.au/elections/2025-general-election/2025-election-commitments-costings/entrepreneurship-accelerator-tax-incentive", "ECR-2025-2472")</f>
        <v>ECR-2025-2472</v>
      </c>
      <c r="C20" s="59" t="s">
        <v>416</v>
      </c>
      <c r="D20" s="60">
        <v>-4.0999999999999996</v>
      </c>
      <c r="E20" s="60">
        <v>-387.9</v>
      </c>
      <c r="F20" s="60">
        <v>-610.6</v>
      </c>
      <c r="G20" s="60">
        <v>-789.4</v>
      </c>
      <c r="H20" s="60">
        <v>-397.4</v>
      </c>
      <c r="I20" s="60">
        <v>-174.4</v>
      </c>
      <c r="J20" s="60">
        <v>0</v>
      </c>
      <c r="K20" s="60">
        <v>0</v>
      </c>
      <c r="L20" s="60">
        <v>0</v>
      </c>
      <c r="M20" s="60">
        <v>0</v>
      </c>
      <c r="N20" s="60">
        <v>0</v>
      </c>
      <c r="O20" s="60">
        <v>-1792</v>
      </c>
      <c r="P20" s="60">
        <v>-2363.8000000000002</v>
      </c>
      <c r="Q20" s="64"/>
      <c r="R20" s="64"/>
      <c r="S20" s="59" t="s">
        <v>291</v>
      </c>
      <c r="U20" s="53"/>
      <c r="V20" s="53"/>
      <c r="W20" s="53"/>
      <c r="X20" s="53"/>
      <c r="Y20" s="53"/>
      <c r="Z20" s="53"/>
      <c r="AA20" s="53"/>
      <c r="AB20" s="53"/>
      <c r="AC20" s="53"/>
      <c r="AD20" s="53"/>
      <c r="AE20" s="53"/>
      <c r="AF20" s="53"/>
      <c r="AG20" s="53"/>
    </row>
    <row r="21" spans="2:33" ht="15" customHeight="1" x14ac:dyDescent="0.25">
      <c r="B21" s="59" t="s">
        <v>112</v>
      </c>
      <c r="C21" s="59" t="s">
        <v>392</v>
      </c>
      <c r="D21" s="60">
        <v>0</v>
      </c>
      <c r="E21" s="60">
        <v>0</v>
      </c>
      <c r="F21" s="60">
        <v>0</v>
      </c>
      <c r="G21" s="60">
        <v>0</v>
      </c>
      <c r="H21" s="60">
        <v>0</v>
      </c>
      <c r="I21" s="60">
        <v>0</v>
      </c>
      <c r="J21" s="60">
        <v>0</v>
      </c>
      <c r="K21" s="60">
        <v>0</v>
      </c>
      <c r="L21" s="60">
        <v>0</v>
      </c>
      <c r="M21" s="60">
        <v>0</v>
      </c>
      <c r="N21" s="60">
        <v>0</v>
      </c>
      <c r="O21" s="60">
        <v>0</v>
      </c>
      <c r="P21" s="60">
        <v>0</v>
      </c>
      <c r="Q21" s="64"/>
      <c r="R21" s="64"/>
      <c r="S21" s="59" t="s">
        <v>295</v>
      </c>
      <c r="U21" s="53"/>
      <c r="V21" s="53"/>
      <c r="W21" s="53"/>
      <c r="X21" s="53"/>
      <c r="Y21" s="53"/>
      <c r="Z21" s="53"/>
      <c r="AA21" s="53"/>
      <c r="AB21" s="53"/>
      <c r="AC21" s="53"/>
      <c r="AD21" s="53"/>
      <c r="AE21" s="53"/>
      <c r="AF21" s="53"/>
      <c r="AG21" s="53"/>
    </row>
    <row r="22" spans="2:33" ht="15" customHeight="1" x14ac:dyDescent="0.25">
      <c r="B22" s="135" t="str">
        <f>HYPERLINK("https://www.pbo.gov.au/elections/2025-general-election/2025-election-commitments-costings/export-growth-grants-tariff-affected-sectors", "ECR-2025-2393")</f>
        <v>ECR-2025-2393</v>
      </c>
      <c r="C22" s="59" t="s">
        <v>156</v>
      </c>
      <c r="D22" s="60">
        <v>-12.5</v>
      </c>
      <c r="E22" s="60">
        <v>-12.5</v>
      </c>
      <c r="F22" s="60">
        <v>-12.5</v>
      </c>
      <c r="G22" s="60">
        <v>-12.5</v>
      </c>
      <c r="H22" s="60">
        <v>-12.5</v>
      </c>
      <c r="I22" s="60">
        <v>-12.5</v>
      </c>
      <c r="J22" s="60">
        <v>-12.5</v>
      </c>
      <c r="K22" s="60">
        <v>-12.5</v>
      </c>
      <c r="L22" s="60">
        <v>-12.5</v>
      </c>
      <c r="M22" s="60">
        <v>-12.5</v>
      </c>
      <c r="N22" s="60">
        <v>-12.5</v>
      </c>
      <c r="O22" s="60">
        <v>-50</v>
      </c>
      <c r="P22" s="60">
        <v>-137.5</v>
      </c>
      <c r="Q22" s="64"/>
      <c r="R22" s="64"/>
      <c r="S22" s="59" t="s">
        <v>261</v>
      </c>
      <c r="U22" s="53"/>
      <c r="V22" s="53"/>
      <c r="W22" s="53"/>
      <c r="X22" s="53"/>
      <c r="Y22" s="53"/>
      <c r="Z22" s="53"/>
      <c r="AA22" s="53"/>
      <c r="AB22" s="53"/>
      <c r="AC22" s="53"/>
      <c r="AD22" s="53"/>
      <c r="AE22" s="53"/>
      <c r="AF22" s="53"/>
      <c r="AG22" s="53"/>
    </row>
    <row r="23" spans="2:33" ht="15" customHeight="1" x14ac:dyDescent="0.25">
      <c r="B23" s="135" t="str">
        <f>HYPERLINK("https://www.pbo.gov.au/elections/2025-general-election/2025-election-commitments-costings/future-made-australia-attracting-investments-key-industries-redirect", "ECR-2025-2001")</f>
        <v>ECR-2025-2001</v>
      </c>
      <c r="C23" s="59" t="s">
        <v>154</v>
      </c>
      <c r="D23" s="60">
        <v>2.9</v>
      </c>
      <c r="E23" s="60">
        <v>2.9</v>
      </c>
      <c r="F23" s="60">
        <v>3.1</v>
      </c>
      <c r="G23" s="60">
        <v>3.1</v>
      </c>
      <c r="H23" s="60">
        <v>3.1</v>
      </c>
      <c r="I23" s="60">
        <v>3.1</v>
      </c>
      <c r="J23" s="60">
        <v>3.2</v>
      </c>
      <c r="K23" s="60">
        <v>3.2</v>
      </c>
      <c r="L23" s="60">
        <v>3.2</v>
      </c>
      <c r="M23" s="60">
        <v>3.3</v>
      </c>
      <c r="N23" s="60">
        <v>3.4</v>
      </c>
      <c r="O23" s="60">
        <v>12</v>
      </c>
      <c r="P23" s="60">
        <v>34.5</v>
      </c>
      <c r="Q23" s="64"/>
      <c r="R23" s="64"/>
      <c r="S23" s="59" t="s">
        <v>261</v>
      </c>
      <c r="U23" s="53"/>
      <c r="V23" s="53"/>
      <c r="W23" s="53"/>
      <c r="X23" s="53"/>
      <c r="Y23" s="53"/>
      <c r="Z23" s="53"/>
      <c r="AA23" s="53"/>
      <c r="AB23" s="53"/>
      <c r="AC23" s="53"/>
      <c r="AD23" s="53"/>
      <c r="AE23" s="53"/>
      <c r="AF23" s="53"/>
      <c r="AG23" s="53"/>
    </row>
    <row r="24" spans="2:33" ht="15" customHeight="1" x14ac:dyDescent="0.25">
      <c r="B24" s="135" t="str">
        <f>HYPERLINK("https://www.pbo.gov.au/elections/2025-general-election/2025-election-commitments-costings/grants-attorney-generals-and-foreign-affairs-and-trade-portfolios-prioritise", "ECR-2025-2890")</f>
        <v>ECR-2025-2890</v>
      </c>
      <c r="C24" s="59" t="s">
        <v>153</v>
      </c>
      <c r="D24" s="60">
        <v>23.9</v>
      </c>
      <c r="E24" s="60">
        <v>42.9</v>
      </c>
      <c r="F24" s="60">
        <v>42.5</v>
      </c>
      <c r="G24" s="60">
        <v>43.4</v>
      </c>
      <c r="H24" s="60">
        <v>42.9</v>
      </c>
      <c r="I24" s="60">
        <v>43.8</v>
      </c>
      <c r="J24" s="60">
        <v>44.8</v>
      </c>
      <c r="K24" s="60">
        <v>45.9</v>
      </c>
      <c r="L24" s="60">
        <v>46.9</v>
      </c>
      <c r="M24" s="60">
        <v>48</v>
      </c>
      <c r="N24" s="60">
        <v>49.1</v>
      </c>
      <c r="O24" s="60">
        <v>152.69999999999999</v>
      </c>
      <c r="P24" s="60">
        <v>474.1</v>
      </c>
      <c r="Q24" s="64"/>
      <c r="R24" s="64"/>
      <c r="S24" s="59" t="s">
        <v>261</v>
      </c>
      <c r="U24" s="53"/>
      <c r="V24" s="53"/>
      <c r="W24" s="53"/>
      <c r="X24" s="53"/>
      <c r="Y24" s="53"/>
      <c r="Z24" s="53"/>
      <c r="AA24" s="53"/>
      <c r="AB24" s="53"/>
      <c r="AC24" s="53"/>
      <c r="AD24" s="53"/>
      <c r="AE24" s="53"/>
      <c r="AF24" s="53"/>
      <c r="AG24" s="53"/>
    </row>
    <row r="25" spans="2:33" ht="15" customHeight="1" x14ac:dyDescent="0.25">
      <c r="B25" s="135" t="str">
        <f>HYPERLINK("https://www.pbo.gov.au/elections/2025-general-election/2025-election-commitments-costings/green-aluminium-production-credit", "ECR-2025-2262")</f>
        <v>ECR-2025-2262</v>
      </c>
      <c r="C25" s="59" t="s">
        <v>163</v>
      </c>
      <c r="D25" s="60">
        <v>2.4</v>
      </c>
      <c r="E25" s="60">
        <v>1.4</v>
      </c>
      <c r="F25" s="60">
        <v>2.2999999999999998</v>
      </c>
      <c r="G25" s="60">
        <v>2.1</v>
      </c>
      <c r="H25" s="60">
        <v>115.8</v>
      </c>
      <c r="I25" s="60">
        <v>115.2</v>
      </c>
      <c r="J25" s="60">
        <v>116.5</v>
      </c>
      <c r="K25" s="60">
        <v>114.7</v>
      </c>
      <c r="L25" s="60">
        <v>172.3</v>
      </c>
      <c r="M25" s="60">
        <v>171.7</v>
      </c>
      <c r="N25" s="60">
        <v>171.7</v>
      </c>
      <c r="O25" s="60">
        <v>8.1999999999999993</v>
      </c>
      <c r="P25" s="60">
        <v>986.1</v>
      </c>
      <c r="Q25" s="64"/>
      <c r="R25" s="64"/>
      <c r="S25" s="59" t="s">
        <v>261</v>
      </c>
      <c r="U25" s="53"/>
      <c r="V25" s="53"/>
      <c r="W25" s="53"/>
      <c r="X25" s="53"/>
      <c r="Y25" s="53"/>
      <c r="Z25" s="53"/>
      <c r="AA25" s="53"/>
      <c r="AB25" s="53"/>
      <c r="AC25" s="53"/>
      <c r="AD25" s="53"/>
      <c r="AE25" s="53"/>
      <c r="AF25" s="53"/>
      <c r="AG25" s="53"/>
    </row>
    <row r="26" spans="2:33" ht="15" customHeight="1" x14ac:dyDescent="0.25">
      <c r="B26" s="135" t="str">
        <f>HYPERLINK("https://www.pbo.gov.au/elections/2025-general-election/2025-election-commitments-costings/green-hydrogen-production-tax-incentives", "ECR-2025-2013")</f>
        <v>ECR-2025-2013</v>
      </c>
      <c r="C26" s="59" t="s">
        <v>155</v>
      </c>
      <c r="D26" s="60">
        <v>4.9000000000000004</v>
      </c>
      <c r="E26" s="60">
        <v>112.6</v>
      </c>
      <c r="F26" s="60">
        <v>481.1</v>
      </c>
      <c r="G26" s="60">
        <v>927.8</v>
      </c>
      <c r="H26" s="60">
        <v>1157.5999999999999</v>
      </c>
      <c r="I26" s="60">
        <v>1339.7</v>
      </c>
      <c r="J26" s="60">
        <v>1338.6</v>
      </c>
      <c r="K26" s="60">
        <v>1350.4</v>
      </c>
      <c r="L26" s="60">
        <v>1344.7</v>
      </c>
      <c r="M26" s="60">
        <v>1343.7</v>
      </c>
      <c r="N26" s="60">
        <v>1343.7</v>
      </c>
      <c r="O26" s="60">
        <v>1526.4</v>
      </c>
      <c r="P26" s="60">
        <v>10744.8</v>
      </c>
      <c r="Q26" s="64"/>
      <c r="R26" s="64"/>
      <c r="S26" s="59" t="s">
        <v>296</v>
      </c>
      <c r="U26" s="53"/>
      <c r="V26" s="53"/>
      <c r="W26" s="53"/>
      <c r="X26" s="53"/>
      <c r="Y26" s="53"/>
      <c r="Z26" s="53"/>
      <c r="AA26" s="53"/>
      <c r="AB26" s="53"/>
      <c r="AC26" s="53"/>
      <c r="AD26" s="53"/>
      <c r="AE26" s="53"/>
      <c r="AF26" s="53"/>
      <c r="AG26" s="53"/>
    </row>
    <row r="27" spans="2:33" ht="15" customHeight="1" x14ac:dyDescent="0.25">
      <c r="B27" s="135" t="str">
        <f>HYPERLINK("https://www.pbo.gov.au/elections/2025-general-election/2025-election-commitments-costings/instant-asset-write-increase-cap-30000-and-make-permanent", "ECR-2025-2329")</f>
        <v>ECR-2025-2329</v>
      </c>
      <c r="C27" s="59" t="s">
        <v>148</v>
      </c>
      <c r="D27" s="60">
        <v>0</v>
      </c>
      <c r="E27" s="60">
        <v>-100</v>
      </c>
      <c r="F27" s="60">
        <v>-879</v>
      </c>
      <c r="G27" s="60">
        <v>-927</v>
      </c>
      <c r="H27" s="60">
        <v>-462</v>
      </c>
      <c r="I27" s="60">
        <v>-324</v>
      </c>
      <c r="J27" s="60">
        <v>-279</v>
      </c>
      <c r="K27" s="60">
        <v>-250</v>
      </c>
      <c r="L27" s="60">
        <v>-233</v>
      </c>
      <c r="M27" s="60">
        <v>-223</v>
      </c>
      <c r="N27" s="60">
        <v>-219</v>
      </c>
      <c r="O27" s="60">
        <v>-1906</v>
      </c>
      <c r="P27" s="60">
        <v>-3896</v>
      </c>
      <c r="Q27" s="64"/>
      <c r="R27" s="64"/>
      <c r="S27" s="59" t="s">
        <v>291</v>
      </c>
      <c r="U27" s="53"/>
      <c r="V27" s="53"/>
      <c r="W27" s="53"/>
      <c r="X27" s="53"/>
      <c r="Y27" s="53"/>
      <c r="Z27" s="53"/>
      <c r="AA27" s="53"/>
      <c r="AB27" s="53"/>
      <c r="AC27" s="53"/>
      <c r="AD27" s="53"/>
      <c r="AE27" s="53"/>
      <c r="AF27" s="53"/>
      <c r="AG27" s="53"/>
    </row>
    <row r="28" spans="2:33" ht="15" customHeight="1" x14ac:dyDescent="0.25">
      <c r="B28" s="135" t="str">
        <f>HYPERLINK("https://www.pbo.gov.au/elections/2025-general-election/2025-election-commitments-costings/International%20Climate%20Step%20Up%20%E2%80%93%20redirect", "ECR-2025-2150")</f>
        <v>ECR-2025-2150</v>
      </c>
      <c r="C28" s="59" t="s">
        <v>359</v>
      </c>
      <c r="D28" s="60">
        <v>12.2</v>
      </c>
      <c r="E28" s="60">
        <v>8.1</v>
      </c>
      <c r="F28" s="60">
        <v>7.6</v>
      </c>
      <c r="G28" s="60">
        <v>0</v>
      </c>
      <c r="H28" s="60">
        <v>0</v>
      </c>
      <c r="I28" s="60">
        <v>0</v>
      </c>
      <c r="J28" s="60">
        <v>0</v>
      </c>
      <c r="K28" s="60">
        <v>0</v>
      </c>
      <c r="L28" s="60">
        <v>0</v>
      </c>
      <c r="M28" s="60">
        <v>0</v>
      </c>
      <c r="N28" s="60">
        <v>0</v>
      </c>
      <c r="O28" s="60">
        <v>27.9</v>
      </c>
      <c r="P28" s="60">
        <v>27.9</v>
      </c>
      <c r="Q28" s="64"/>
      <c r="R28" s="64"/>
      <c r="S28" s="59" t="s">
        <v>261</v>
      </c>
      <c r="U28" s="53"/>
      <c r="V28" s="53"/>
      <c r="W28" s="53"/>
      <c r="X28" s="53"/>
      <c r="Y28" s="53"/>
      <c r="Z28" s="53"/>
      <c r="AA28" s="53"/>
      <c r="AB28" s="53"/>
      <c r="AC28" s="53"/>
      <c r="AD28" s="53"/>
      <c r="AE28" s="53"/>
      <c r="AF28" s="53"/>
      <c r="AG28" s="53"/>
    </row>
    <row r="29" spans="2:33" ht="15" customHeight="1" x14ac:dyDescent="0.25">
      <c r="B29" s="135" t="str">
        <f>HYPERLINK("https://www.pbo.gov.au/elections/2025-general-election/2025-election-commitments-costings/junior-minerals-exploration-incentive", "ECR-2025-2406")</f>
        <v>ECR-2025-2406</v>
      </c>
      <c r="C29" s="59" t="s">
        <v>360</v>
      </c>
      <c r="D29" s="60">
        <v>0</v>
      </c>
      <c r="E29" s="60">
        <v>-3.1</v>
      </c>
      <c r="F29" s="60">
        <v>-4.2</v>
      </c>
      <c r="G29" s="60">
        <v>-4.2</v>
      </c>
      <c r="H29" s="60">
        <v>-4.2</v>
      </c>
      <c r="I29" s="60">
        <v>-1.1000000000000001</v>
      </c>
      <c r="J29" s="60">
        <v>0</v>
      </c>
      <c r="K29" s="60">
        <v>0</v>
      </c>
      <c r="L29" s="60">
        <v>0</v>
      </c>
      <c r="M29" s="60">
        <v>0</v>
      </c>
      <c r="N29" s="60">
        <v>0</v>
      </c>
      <c r="O29" s="60">
        <v>-11.5</v>
      </c>
      <c r="P29" s="60">
        <v>-16.8</v>
      </c>
      <c r="Q29" s="64"/>
      <c r="R29" s="64"/>
      <c r="S29" s="59" t="s">
        <v>297</v>
      </c>
      <c r="U29" s="53"/>
      <c r="V29" s="53"/>
      <c r="W29" s="53"/>
      <c r="X29" s="53"/>
      <c r="Y29" s="53"/>
      <c r="Z29" s="53"/>
      <c r="AA29" s="53"/>
      <c r="AB29" s="53"/>
      <c r="AC29" s="53"/>
      <c r="AD29" s="53"/>
      <c r="AE29" s="53"/>
      <c r="AF29" s="53"/>
      <c r="AG29" s="53"/>
    </row>
    <row r="30" spans="2:33" ht="15" customHeight="1" x14ac:dyDescent="0.25">
      <c r="B30" s="135" t="str">
        <f>HYPERLINK("https://www.pbo.gov.au/elections/2025-general-election/2025-election-commitments-costings/landmass-and-territorial-water-lock-reverse", "ECR-2025-2808")</f>
        <v>ECR-2025-2808</v>
      </c>
      <c r="C30" s="59" t="s">
        <v>217</v>
      </c>
      <c r="D30" s="60">
        <v>51.4</v>
      </c>
      <c r="E30" s="60">
        <v>52</v>
      </c>
      <c r="F30" s="60">
        <v>50.8</v>
      </c>
      <c r="G30" s="60">
        <v>57.7</v>
      </c>
      <c r="H30" s="60">
        <v>50</v>
      </c>
      <c r="I30" s="60">
        <v>0</v>
      </c>
      <c r="J30" s="60">
        <v>0</v>
      </c>
      <c r="K30" s="60">
        <v>0</v>
      </c>
      <c r="L30" s="60">
        <v>0</v>
      </c>
      <c r="M30" s="60">
        <v>0</v>
      </c>
      <c r="N30" s="60">
        <v>0</v>
      </c>
      <c r="O30" s="60">
        <v>211.9</v>
      </c>
      <c r="P30" s="60">
        <v>261.89999999999998</v>
      </c>
      <c r="Q30" s="64"/>
      <c r="R30" s="64"/>
      <c r="S30" s="59" t="s">
        <v>261</v>
      </c>
      <c r="U30" s="53"/>
      <c r="V30" s="53"/>
      <c r="W30" s="53"/>
      <c r="X30" s="53"/>
      <c r="Y30" s="53"/>
      <c r="Z30" s="53"/>
      <c r="AA30" s="53"/>
      <c r="AB30" s="53"/>
      <c r="AC30" s="53"/>
      <c r="AD30" s="53"/>
      <c r="AE30" s="53"/>
      <c r="AF30" s="53"/>
      <c r="AG30" s="53"/>
    </row>
    <row r="31" spans="2:33" ht="15" customHeight="1" x14ac:dyDescent="0.25">
      <c r="B31" s="135" t="str">
        <f>HYPERLINK("https://www.pbo.gov.au/elections/2025-general-election/2025-election-commitments-costings/meat-poultry-contractual-fairness", "ECR-2025-2191")</f>
        <v>ECR-2025-2191</v>
      </c>
      <c r="C31" s="59" t="s">
        <v>417</v>
      </c>
      <c r="D31" s="60">
        <v>-0.5</v>
      </c>
      <c r="E31" s="60">
        <v>-0.5</v>
      </c>
      <c r="F31" s="60">
        <v>-0.5</v>
      </c>
      <c r="G31" s="60">
        <v>-0.5</v>
      </c>
      <c r="H31" s="60">
        <v>-0.5</v>
      </c>
      <c r="I31" s="60">
        <v>-0.5</v>
      </c>
      <c r="J31" s="60">
        <v>-0.5</v>
      </c>
      <c r="K31" s="60">
        <v>-0.5</v>
      </c>
      <c r="L31" s="60">
        <v>-0.5</v>
      </c>
      <c r="M31" s="60">
        <v>-0.5</v>
      </c>
      <c r="N31" s="60">
        <v>-0.5</v>
      </c>
      <c r="O31" s="60">
        <v>-2</v>
      </c>
      <c r="P31" s="60">
        <v>-5.5</v>
      </c>
      <c r="Q31" s="64"/>
      <c r="R31" s="64"/>
      <c r="S31" s="59" t="s">
        <v>298</v>
      </c>
      <c r="U31" s="53"/>
      <c r="V31" s="53"/>
      <c r="W31" s="53"/>
      <c r="X31" s="53"/>
      <c r="Y31" s="53"/>
      <c r="Z31" s="53"/>
      <c r="AA31" s="53"/>
      <c r="AB31" s="53"/>
      <c r="AC31" s="53"/>
      <c r="AD31" s="53"/>
      <c r="AE31" s="53"/>
      <c r="AF31" s="53"/>
      <c r="AG31" s="53"/>
    </row>
    <row r="32" spans="2:33" ht="15" customHeight="1" x14ac:dyDescent="0.25">
      <c r="B32" s="135" t="str">
        <f>HYPERLINK("https://www.pbo.gov.au/elections/2025-general-election/2025-election-commitments-costings/National%20Food%20Security%20Strategy", "ECR-2025-2566")</f>
        <v>ECR-2025-2566</v>
      </c>
      <c r="C32" s="59" t="s">
        <v>230</v>
      </c>
      <c r="D32" s="60">
        <v>1.8</v>
      </c>
      <c r="E32" s="60">
        <v>1.7</v>
      </c>
      <c r="F32" s="60">
        <v>0</v>
      </c>
      <c r="G32" s="60">
        <v>0</v>
      </c>
      <c r="H32" s="60">
        <v>0</v>
      </c>
      <c r="I32" s="60">
        <v>0</v>
      </c>
      <c r="J32" s="60">
        <v>0</v>
      </c>
      <c r="K32" s="60">
        <v>0</v>
      </c>
      <c r="L32" s="60">
        <v>0</v>
      </c>
      <c r="M32" s="60">
        <v>0</v>
      </c>
      <c r="N32" s="60">
        <v>0</v>
      </c>
      <c r="O32" s="60">
        <v>3.5</v>
      </c>
      <c r="P32" s="60">
        <v>3.5</v>
      </c>
      <c r="Q32" s="64"/>
      <c r="R32" s="64"/>
      <c r="S32" s="59" t="s">
        <v>299</v>
      </c>
      <c r="U32" s="53"/>
      <c r="V32" s="53"/>
      <c r="W32" s="53"/>
      <c r="X32" s="53"/>
      <c r="Y32" s="53"/>
      <c r="Z32" s="53"/>
      <c r="AA32" s="53"/>
      <c r="AB32" s="53"/>
      <c r="AC32" s="53"/>
      <c r="AD32" s="53"/>
      <c r="AE32" s="53"/>
      <c r="AF32" s="53"/>
      <c r="AG32" s="53"/>
    </row>
    <row r="33" spans="2:33" ht="15" customHeight="1" x14ac:dyDescent="0.25">
      <c r="B33" s="135" t="str">
        <f>HYPERLINK("https://www.pbo.gov.au/elections/2025-general-election/2025-election-commitments-costings/national-organic-standard", "ECR-2025-2006")</f>
        <v>ECR-2025-2006</v>
      </c>
      <c r="C33" s="59" t="s">
        <v>159</v>
      </c>
      <c r="D33" s="60">
        <v>-0.4</v>
      </c>
      <c r="E33" s="60">
        <v>-0.4</v>
      </c>
      <c r="F33" s="60">
        <v>-0.4</v>
      </c>
      <c r="G33" s="60">
        <v>-0.4</v>
      </c>
      <c r="H33" s="60">
        <v>-0.4</v>
      </c>
      <c r="I33" s="60">
        <v>-0.4</v>
      </c>
      <c r="J33" s="60">
        <v>-0.4</v>
      </c>
      <c r="K33" s="60">
        <v>-0.4</v>
      </c>
      <c r="L33" s="60">
        <v>-0.4</v>
      </c>
      <c r="M33" s="60">
        <v>-0.4</v>
      </c>
      <c r="N33" s="60">
        <v>-0.4</v>
      </c>
      <c r="O33" s="60">
        <v>-1.6</v>
      </c>
      <c r="P33" s="60">
        <v>-4.4000000000000004</v>
      </c>
      <c r="Q33" s="64"/>
      <c r="R33" s="64"/>
      <c r="S33" s="59" t="s">
        <v>298</v>
      </c>
      <c r="U33" s="53"/>
      <c r="V33" s="53"/>
      <c r="W33" s="53"/>
      <c r="X33" s="53"/>
      <c r="Y33" s="53"/>
      <c r="Z33" s="53"/>
      <c r="AA33" s="53"/>
      <c r="AB33" s="53"/>
      <c r="AC33" s="53"/>
      <c r="AD33" s="53"/>
      <c r="AE33" s="53"/>
      <c r="AF33" s="53"/>
      <c r="AG33" s="53"/>
    </row>
    <row r="34" spans="2:33" ht="15" customHeight="1" x14ac:dyDescent="0.25">
      <c r="B34" s="135" t="str">
        <f>HYPERLINK("https://www.pbo.gov.au/elections/2025-general-election/2025-election-commitments-costings/national-reconstruction-fund-and-national-reconstruction-fund-corporation-unwind-and-close", "ECR-2025-2247")</f>
        <v>ECR-2025-2247</v>
      </c>
      <c r="C34" s="59" t="s">
        <v>247</v>
      </c>
      <c r="D34" s="60">
        <v>51.5</v>
      </c>
      <c r="E34" s="60">
        <v>86.7</v>
      </c>
      <c r="F34" s="60">
        <v>141.5</v>
      </c>
      <c r="G34" s="60">
        <v>234.3</v>
      </c>
      <c r="H34" s="60">
        <v>-26.4</v>
      </c>
      <c r="I34" s="60">
        <v>61.9</v>
      </c>
      <c r="J34" s="60">
        <v>83.2</v>
      </c>
      <c r="K34" s="60">
        <v>87.5</v>
      </c>
      <c r="L34" s="60">
        <v>92.9</v>
      </c>
      <c r="M34" s="60">
        <v>99.3</v>
      </c>
      <c r="N34" s="60">
        <v>105.7</v>
      </c>
      <c r="O34" s="60">
        <v>514</v>
      </c>
      <c r="P34" s="60">
        <v>1018.1</v>
      </c>
      <c r="Q34" s="64"/>
      <c r="R34" s="64"/>
      <c r="S34" s="59" t="s">
        <v>261</v>
      </c>
      <c r="U34" s="53"/>
      <c r="V34" s="53"/>
      <c r="W34" s="53"/>
      <c r="X34" s="53"/>
      <c r="Y34" s="53"/>
      <c r="Z34" s="53"/>
      <c r="AA34" s="53"/>
      <c r="AB34" s="53"/>
      <c r="AC34" s="53"/>
      <c r="AD34" s="53"/>
      <c r="AE34" s="53"/>
      <c r="AF34" s="53"/>
      <c r="AG34" s="53"/>
    </row>
    <row r="35" spans="2:33" ht="15" customHeight="1" x14ac:dyDescent="0.25">
      <c r="B35" s="135" t="str">
        <f>HYPERLINK("https://www.pbo.gov.au/elections/2025-general-election/2025-election-commitments-costings/nature-positive-plan-and-environmental-protection-australia-reversal", "ECR-2025-2043")</f>
        <v>ECR-2025-2043</v>
      </c>
      <c r="C35" s="59" t="s">
        <v>160</v>
      </c>
      <c r="D35" s="60">
        <v>33.5</v>
      </c>
      <c r="E35" s="60">
        <v>22.2</v>
      </c>
      <c r="F35" s="60">
        <v>4.5</v>
      </c>
      <c r="G35" s="60">
        <v>4.5</v>
      </c>
      <c r="H35" s="60">
        <v>4.5</v>
      </c>
      <c r="I35" s="60">
        <v>4.5</v>
      </c>
      <c r="J35" s="60">
        <v>4.5</v>
      </c>
      <c r="K35" s="60">
        <v>4.5</v>
      </c>
      <c r="L35" s="60">
        <v>4.5</v>
      </c>
      <c r="M35" s="60">
        <v>4.5</v>
      </c>
      <c r="N35" s="60">
        <v>4.5</v>
      </c>
      <c r="O35" s="60">
        <v>64.7</v>
      </c>
      <c r="P35" s="60">
        <v>96.2</v>
      </c>
      <c r="Q35" s="64"/>
      <c r="R35" s="64"/>
      <c r="S35" s="59" t="s">
        <v>261</v>
      </c>
      <c r="U35" s="53"/>
      <c r="V35" s="53"/>
      <c r="W35" s="53"/>
      <c r="X35" s="53"/>
      <c r="Y35" s="53"/>
      <c r="Z35" s="53"/>
      <c r="AA35" s="53"/>
      <c r="AB35" s="53"/>
      <c r="AC35" s="53"/>
      <c r="AD35" s="53"/>
      <c r="AE35" s="53"/>
      <c r="AF35" s="53"/>
      <c r="AG35" s="53"/>
    </row>
    <row r="36" spans="2:33" ht="15" customHeight="1" x14ac:dyDescent="0.25">
      <c r="B36" s="135" t="str">
        <f>HYPERLINK("https://www.pbo.gov.au/elections/2025-general-election/2025-election-commitments-costings/net-zero-economy-agency-and-related-measures-unwind", "ECR-2025-2039")</f>
        <v>ECR-2025-2039</v>
      </c>
      <c r="C36" s="59" t="s">
        <v>202</v>
      </c>
      <c r="D36" s="60">
        <v>127.9</v>
      </c>
      <c r="E36" s="60">
        <v>114.8</v>
      </c>
      <c r="F36" s="60">
        <v>95.9</v>
      </c>
      <c r="G36" s="60">
        <v>89.4</v>
      </c>
      <c r="H36" s="60">
        <v>89.4</v>
      </c>
      <c r="I36" s="60">
        <v>89.4</v>
      </c>
      <c r="J36" s="60">
        <v>89.4</v>
      </c>
      <c r="K36" s="60">
        <v>89.4</v>
      </c>
      <c r="L36" s="60">
        <v>89.4</v>
      </c>
      <c r="M36" s="60">
        <v>88.1</v>
      </c>
      <c r="N36" s="60">
        <v>93.4</v>
      </c>
      <c r="O36" s="60">
        <v>428</v>
      </c>
      <c r="P36" s="60">
        <v>1056.5</v>
      </c>
      <c r="Q36" s="64"/>
      <c r="R36" s="64"/>
      <c r="S36" s="59" t="s">
        <v>261</v>
      </c>
      <c r="U36" s="53"/>
      <c r="V36" s="53"/>
      <c r="W36" s="53"/>
      <c r="X36" s="53"/>
      <c r="Y36" s="53"/>
      <c r="Z36" s="53"/>
      <c r="AA36" s="53"/>
      <c r="AB36" s="53"/>
      <c r="AC36" s="53"/>
      <c r="AD36" s="53"/>
      <c r="AE36" s="53"/>
      <c r="AF36" s="53"/>
      <c r="AG36" s="53"/>
    </row>
    <row r="37" spans="2:33" ht="15" customHeight="1" x14ac:dyDescent="0.25">
      <c r="B37" s="135" t="str">
        <f>HYPERLINK("https://www.pbo.gov.au/elections/2025-general-election/2025-election-commitments-costings/New%20agricultural%20visa", "ECR-2025-2004")</f>
        <v>ECR-2025-2004</v>
      </c>
      <c r="C37" s="59" t="s">
        <v>231</v>
      </c>
      <c r="D37" s="60">
        <v>-4.4000000000000004</v>
      </c>
      <c r="E37" s="60">
        <v>40.1</v>
      </c>
      <c r="F37" s="60">
        <v>41.9</v>
      </c>
      <c r="G37" s="60">
        <v>43.8</v>
      </c>
      <c r="H37" s="60">
        <v>45.7</v>
      </c>
      <c r="I37" s="60">
        <v>47.6</v>
      </c>
      <c r="J37" s="60">
        <v>49.6</v>
      </c>
      <c r="K37" s="60">
        <v>51.7</v>
      </c>
      <c r="L37" s="60">
        <v>53.8</v>
      </c>
      <c r="M37" s="60">
        <v>56</v>
      </c>
      <c r="N37" s="60">
        <v>58.4</v>
      </c>
      <c r="O37" s="60">
        <v>121.4</v>
      </c>
      <c r="P37" s="60">
        <v>484.2</v>
      </c>
      <c r="Q37" s="64"/>
      <c r="R37" s="64"/>
      <c r="S37" s="59" t="s">
        <v>300</v>
      </c>
      <c r="U37" s="53"/>
      <c r="V37" s="53"/>
      <c r="W37" s="53"/>
      <c r="X37" s="53"/>
      <c r="Y37" s="53"/>
      <c r="Z37" s="53"/>
      <c r="AA37" s="53"/>
      <c r="AB37" s="53"/>
      <c r="AC37" s="53"/>
      <c r="AD37" s="53"/>
      <c r="AE37" s="53"/>
      <c r="AF37" s="53"/>
      <c r="AG37" s="53"/>
    </row>
    <row r="38" spans="2:33" ht="15" customHeight="1" x14ac:dyDescent="0.25">
      <c r="B38" s="135" t="str">
        <f>HYPERLINK("https://www.pbo.gov.au/elections/2025-general-election/2025-election-commitments-costings/northam-re-use-water-scheme-western-australia-support", "ECR-2025-2655")</f>
        <v>ECR-2025-2655</v>
      </c>
      <c r="C38" s="59" t="s">
        <v>143</v>
      </c>
      <c r="D38" s="60">
        <v>-2</v>
      </c>
      <c r="E38" s="60">
        <v>-2</v>
      </c>
      <c r="F38" s="60">
        <v>-3</v>
      </c>
      <c r="G38" s="60">
        <v>-3</v>
      </c>
      <c r="H38" s="60">
        <v>0</v>
      </c>
      <c r="I38" s="60">
        <v>0</v>
      </c>
      <c r="J38" s="60">
        <v>0</v>
      </c>
      <c r="K38" s="60">
        <v>0</v>
      </c>
      <c r="L38" s="60">
        <v>0</v>
      </c>
      <c r="M38" s="60">
        <v>0</v>
      </c>
      <c r="N38" s="60">
        <v>0</v>
      </c>
      <c r="O38" s="60">
        <v>-10</v>
      </c>
      <c r="P38" s="60">
        <v>-10</v>
      </c>
      <c r="Q38" s="64"/>
      <c r="R38" s="64"/>
      <c r="S38" s="59" t="s">
        <v>301</v>
      </c>
      <c r="U38" s="53"/>
      <c r="V38" s="53"/>
      <c r="W38" s="53"/>
      <c r="X38" s="53"/>
      <c r="Y38" s="53"/>
      <c r="Z38" s="53"/>
      <c r="AA38" s="53"/>
      <c r="AB38" s="53"/>
      <c r="AC38" s="53"/>
      <c r="AD38" s="53"/>
      <c r="AE38" s="53"/>
      <c r="AF38" s="53"/>
      <c r="AG38" s="53"/>
    </row>
    <row r="39" spans="2:33" ht="15" customHeight="1" x14ac:dyDescent="0.25">
      <c r="B39" s="135" t="str">
        <f>HYPERLINK("https://www.pbo.gov.au/elections/2025-general-election/2025-election-commitments-costings/Passenger%20Movement%20Charge%20%E2%80%93%20indexation", "ECR-2025-2007")</f>
        <v>ECR-2025-2007</v>
      </c>
      <c r="C39" s="59" t="s">
        <v>193</v>
      </c>
      <c r="D39" s="60">
        <v>39</v>
      </c>
      <c r="E39" s="60">
        <v>76</v>
      </c>
      <c r="F39" s="60">
        <v>110</v>
      </c>
      <c r="G39" s="60">
        <v>151</v>
      </c>
      <c r="H39" s="60">
        <v>196</v>
      </c>
      <c r="I39" s="60">
        <v>245</v>
      </c>
      <c r="J39" s="60">
        <v>298</v>
      </c>
      <c r="K39" s="60">
        <v>355</v>
      </c>
      <c r="L39" s="60">
        <v>417</v>
      </c>
      <c r="M39" s="60">
        <v>484</v>
      </c>
      <c r="N39" s="60">
        <v>555</v>
      </c>
      <c r="O39" s="60">
        <v>376</v>
      </c>
      <c r="P39" s="60">
        <v>2926</v>
      </c>
      <c r="Q39" s="64"/>
      <c r="R39" s="64"/>
      <c r="S39" s="59" t="s">
        <v>261</v>
      </c>
      <c r="U39" s="53"/>
      <c r="V39" s="53"/>
      <c r="W39" s="53"/>
      <c r="X39" s="53"/>
      <c r="Y39" s="53"/>
      <c r="Z39" s="53"/>
      <c r="AA39" s="53"/>
      <c r="AB39" s="53"/>
      <c r="AC39" s="53"/>
      <c r="AD39" s="53"/>
      <c r="AE39" s="53"/>
      <c r="AF39" s="53"/>
      <c r="AG39" s="53"/>
    </row>
    <row r="40" spans="2:33" ht="15" customHeight="1" x14ac:dyDescent="0.25">
      <c r="B40" s="135" t="str">
        <f>HYPERLINK("https://www.pbo.gov.au/elections/2025-general-election/2025-election-commitments-costings/personal-income-tax-amendments", "ECR-2025-2525")</f>
        <v>ECR-2025-2525</v>
      </c>
      <c r="C40" s="59" t="s">
        <v>149</v>
      </c>
      <c r="D40" s="60">
        <v>0</v>
      </c>
      <c r="E40" s="60">
        <v>3000</v>
      </c>
      <c r="F40" s="60">
        <v>6700</v>
      </c>
      <c r="G40" s="60">
        <v>7400</v>
      </c>
      <c r="H40" s="60">
        <v>7700</v>
      </c>
      <c r="I40" s="60">
        <v>7900</v>
      </c>
      <c r="J40" s="60">
        <v>8000</v>
      </c>
      <c r="K40" s="60">
        <v>8200</v>
      </c>
      <c r="L40" s="60">
        <v>8400</v>
      </c>
      <c r="M40" s="60">
        <v>8600</v>
      </c>
      <c r="N40" s="60">
        <v>8700</v>
      </c>
      <c r="O40" s="60">
        <v>17100</v>
      </c>
      <c r="P40" s="60">
        <v>74600</v>
      </c>
      <c r="Q40" s="64"/>
      <c r="R40" s="64"/>
      <c r="S40" s="59" t="s">
        <v>261</v>
      </c>
      <c r="U40" s="53"/>
      <c r="V40" s="53"/>
      <c r="W40" s="53"/>
      <c r="X40" s="53"/>
      <c r="Y40" s="53"/>
      <c r="Z40" s="53"/>
      <c r="AA40" s="53"/>
      <c r="AB40" s="53"/>
      <c r="AC40" s="53"/>
      <c r="AD40" s="53"/>
      <c r="AE40" s="53"/>
      <c r="AF40" s="53"/>
      <c r="AG40" s="53"/>
    </row>
    <row r="41" spans="2:33" ht="15" customHeight="1" x14ac:dyDescent="0.25">
      <c r="B41" s="135" t="str">
        <f>HYPERLINK("https://www.pbo.gov.au/elections/2025-general-election/2025-election-commitments-costings/Prioritise%20agricultural%20programs%20%E2%80%93%20Renewed%20Australian%20Animal%20Welfare%20Strategy", "ECR-2025-2594")</f>
        <v>ECR-2025-2594</v>
      </c>
      <c r="C41" s="59" t="s">
        <v>418</v>
      </c>
      <c r="D41" s="60">
        <v>1.3</v>
      </c>
      <c r="E41" s="60">
        <v>1.3</v>
      </c>
      <c r="F41" s="60">
        <v>0</v>
      </c>
      <c r="G41" s="60">
        <v>0</v>
      </c>
      <c r="H41" s="60">
        <v>0</v>
      </c>
      <c r="I41" s="60">
        <v>0</v>
      </c>
      <c r="J41" s="60">
        <v>0</v>
      </c>
      <c r="K41" s="60">
        <v>0</v>
      </c>
      <c r="L41" s="60">
        <v>0</v>
      </c>
      <c r="M41" s="60">
        <v>0</v>
      </c>
      <c r="N41" s="60">
        <v>0</v>
      </c>
      <c r="O41" s="60">
        <v>2.6</v>
      </c>
      <c r="P41" s="60">
        <v>2.6</v>
      </c>
      <c r="Q41" s="61"/>
      <c r="R41" s="61"/>
      <c r="S41" s="59" t="s">
        <v>261</v>
      </c>
      <c r="U41" s="53"/>
      <c r="V41" s="53"/>
      <c r="W41" s="53"/>
      <c r="X41" s="53"/>
      <c r="Y41" s="53"/>
      <c r="Z41" s="53"/>
      <c r="AA41" s="53"/>
      <c r="AB41" s="53"/>
      <c r="AC41" s="53"/>
      <c r="AD41" s="53"/>
      <c r="AE41" s="53"/>
      <c r="AF41" s="53"/>
      <c r="AG41" s="53"/>
    </row>
    <row r="42" spans="2:33" ht="15" customHeight="1" x14ac:dyDescent="0.25">
      <c r="B42" s="135" t="str">
        <f>HYPERLINK("https://www.pbo.gov.au/elections/2025-general-election/2025-election-commitments-costings/productivity-fund-payments-redirection", "ECR-2025-2516")</f>
        <v>ECR-2025-2516</v>
      </c>
      <c r="C42" s="59" t="s">
        <v>157</v>
      </c>
      <c r="D42" s="60">
        <v>81.900000000000006</v>
      </c>
      <c r="E42" s="60">
        <v>81.900000000000006</v>
      </c>
      <c r="F42" s="60">
        <v>81.8</v>
      </c>
      <c r="G42" s="60">
        <v>81.8</v>
      </c>
      <c r="H42" s="60">
        <v>81.8</v>
      </c>
      <c r="I42" s="60">
        <v>81.8</v>
      </c>
      <c r="J42" s="60">
        <v>81.8</v>
      </c>
      <c r="K42" s="60">
        <v>81.8</v>
      </c>
      <c r="L42" s="60">
        <v>81.8</v>
      </c>
      <c r="M42" s="60">
        <v>81.8</v>
      </c>
      <c r="N42" s="60">
        <v>81.8</v>
      </c>
      <c r="O42" s="60">
        <v>327.39999999999998</v>
      </c>
      <c r="P42" s="60">
        <v>900</v>
      </c>
      <c r="Q42" s="61"/>
      <c r="R42" s="61"/>
      <c r="S42" s="59" t="s">
        <v>261</v>
      </c>
      <c r="U42" s="53"/>
      <c r="V42" s="53"/>
      <c r="W42" s="53"/>
      <c r="X42" s="53"/>
      <c r="Y42" s="53"/>
      <c r="Z42" s="53"/>
      <c r="AA42" s="53"/>
      <c r="AB42" s="53"/>
      <c r="AC42" s="53"/>
      <c r="AD42" s="53"/>
      <c r="AE42" s="53"/>
      <c r="AF42" s="53"/>
      <c r="AG42" s="53"/>
    </row>
    <row r="43" spans="2:33" ht="15" customHeight="1" x14ac:dyDescent="0.25">
      <c r="B43" s="59" t="s">
        <v>116</v>
      </c>
      <c r="C43" s="59" t="s">
        <v>393</v>
      </c>
      <c r="D43" s="60">
        <v>0</v>
      </c>
      <c r="E43" s="60">
        <v>0</v>
      </c>
      <c r="F43" s="60">
        <v>0</v>
      </c>
      <c r="G43" s="60">
        <v>0</v>
      </c>
      <c r="H43" s="60">
        <v>0</v>
      </c>
      <c r="I43" s="60">
        <v>0</v>
      </c>
      <c r="J43" s="60">
        <v>0</v>
      </c>
      <c r="K43" s="60">
        <v>0</v>
      </c>
      <c r="L43" s="60">
        <v>0</v>
      </c>
      <c r="M43" s="60">
        <v>0</v>
      </c>
      <c r="N43" s="60">
        <v>0</v>
      </c>
      <c r="O43" s="60">
        <v>0</v>
      </c>
      <c r="P43" s="60">
        <v>0</v>
      </c>
      <c r="Q43" s="61"/>
      <c r="R43" s="61"/>
      <c r="S43" s="59" t="s">
        <v>302</v>
      </c>
      <c r="U43" s="53"/>
      <c r="V43" s="53"/>
      <c r="W43" s="53"/>
      <c r="X43" s="53"/>
      <c r="Y43" s="53"/>
      <c r="Z43" s="53"/>
      <c r="AA43" s="53"/>
      <c r="AB43" s="53"/>
      <c r="AC43" s="53"/>
      <c r="AD43" s="53"/>
      <c r="AE43" s="53"/>
      <c r="AF43" s="53"/>
      <c r="AG43" s="53"/>
    </row>
    <row r="44" spans="2:33" ht="15" customHeight="1" x14ac:dyDescent="0.25">
      <c r="B44" s="135" t="str">
        <f>HYPERLINK("https://www.pbo.gov.au/elections/2025-general-election/2025-election-commitments-costings/Red%20imported%20fire%20ant%20national%20response%20%E2%80%93%20independent%20review", "ECR-2025-2113")</f>
        <v>ECR-2025-2113</v>
      </c>
      <c r="C44" s="59" t="s">
        <v>419</v>
      </c>
      <c r="D44" s="60">
        <v>-3</v>
      </c>
      <c r="E44" s="60">
        <v>0</v>
      </c>
      <c r="F44" s="60">
        <v>0</v>
      </c>
      <c r="G44" s="60">
        <v>0</v>
      </c>
      <c r="H44" s="60">
        <v>0</v>
      </c>
      <c r="I44" s="60">
        <v>0</v>
      </c>
      <c r="J44" s="60">
        <v>0</v>
      </c>
      <c r="K44" s="60">
        <v>0</v>
      </c>
      <c r="L44" s="60">
        <v>0</v>
      </c>
      <c r="M44" s="60">
        <v>0</v>
      </c>
      <c r="N44" s="60">
        <v>0</v>
      </c>
      <c r="O44" s="60">
        <v>-3</v>
      </c>
      <c r="P44" s="60">
        <v>-3</v>
      </c>
      <c r="Q44" s="64"/>
      <c r="R44" s="64"/>
      <c r="S44" s="59" t="s">
        <v>298</v>
      </c>
      <c r="U44" s="53"/>
      <c r="V44" s="53"/>
      <c r="W44" s="53"/>
      <c r="X44" s="53"/>
      <c r="Y44" s="53"/>
      <c r="Z44" s="53"/>
      <c r="AA44" s="53"/>
      <c r="AB44" s="53"/>
      <c r="AC44" s="53"/>
      <c r="AD44" s="53"/>
      <c r="AE44" s="53"/>
      <c r="AF44" s="53"/>
      <c r="AG44" s="53"/>
    </row>
    <row r="45" spans="2:33" ht="15" customHeight="1" x14ac:dyDescent="0.25">
      <c r="B45" s="135" t="str">
        <f>HYPERLINK("https://www.pbo.gov.au/elections/2025-general-election/2025-election-commitments-costings/Reducing%20the%20APS%20to%20a%20sustainable%20level%20over%20time%20through%20natural%20attrition", "ECR-2025-2147")</f>
        <v>ECR-2025-2147</v>
      </c>
      <c r="C45" s="59" t="s">
        <v>370</v>
      </c>
      <c r="D45" s="60">
        <v>1006</v>
      </c>
      <c r="E45" s="60">
        <v>2331</v>
      </c>
      <c r="F45" s="60">
        <v>3708</v>
      </c>
      <c r="G45" s="60">
        <v>5106</v>
      </c>
      <c r="H45" s="60">
        <v>6590</v>
      </c>
      <c r="I45" s="60">
        <v>7215</v>
      </c>
      <c r="J45" s="60">
        <v>7334</v>
      </c>
      <c r="K45" s="60">
        <v>7439</v>
      </c>
      <c r="L45" s="60">
        <v>7551</v>
      </c>
      <c r="M45" s="60">
        <v>7650</v>
      </c>
      <c r="N45" s="60">
        <v>7766</v>
      </c>
      <c r="O45" s="60">
        <v>12151</v>
      </c>
      <c r="P45" s="60">
        <v>63696</v>
      </c>
      <c r="Q45" s="61"/>
      <c r="R45" s="61"/>
      <c r="S45" s="59" t="s">
        <v>372</v>
      </c>
      <c r="U45" s="53"/>
      <c r="V45" s="53"/>
      <c r="W45" s="53"/>
      <c r="X45" s="53"/>
      <c r="Y45" s="53"/>
      <c r="Z45" s="53"/>
      <c r="AA45" s="53"/>
      <c r="AB45" s="53"/>
      <c r="AC45" s="53"/>
      <c r="AD45" s="53"/>
      <c r="AE45" s="53"/>
      <c r="AF45" s="53"/>
      <c r="AG45" s="53"/>
    </row>
    <row r="46" spans="2:33" ht="15" customHeight="1" x14ac:dyDescent="0.25">
      <c r="B46" s="59" t="s">
        <v>115</v>
      </c>
      <c r="C46" s="59" t="s">
        <v>394</v>
      </c>
      <c r="D46" s="60">
        <v>0</v>
      </c>
      <c r="E46" s="60">
        <v>0</v>
      </c>
      <c r="F46" s="60">
        <v>0</v>
      </c>
      <c r="G46" s="60">
        <v>0</v>
      </c>
      <c r="H46" s="60">
        <v>0</v>
      </c>
      <c r="I46" s="60">
        <v>0</v>
      </c>
      <c r="J46" s="60">
        <v>0</v>
      </c>
      <c r="K46" s="60">
        <v>0</v>
      </c>
      <c r="L46" s="60">
        <v>0</v>
      </c>
      <c r="M46" s="60">
        <v>0</v>
      </c>
      <c r="N46" s="60">
        <v>0</v>
      </c>
      <c r="O46" s="60">
        <v>0</v>
      </c>
      <c r="P46" s="60">
        <v>0</v>
      </c>
      <c r="Q46" s="61"/>
      <c r="R46" s="61"/>
      <c r="S46" s="59" t="s">
        <v>303</v>
      </c>
      <c r="U46" s="53"/>
      <c r="V46" s="53"/>
      <c r="W46" s="53"/>
      <c r="X46" s="53"/>
      <c r="Y46" s="53"/>
      <c r="Z46" s="53"/>
      <c r="AA46" s="53"/>
      <c r="AB46" s="53"/>
      <c r="AC46" s="53"/>
      <c r="AD46" s="53"/>
      <c r="AE46" s="53"/>
      <c r="AF46" s="53"/>
      <c r="AG46" s="53"/>
    </row>
    <row r="47" spans="2:33" ht="15" customHeight="1" x14ac:dyDescent="0.25">
      <c r="B47" s="135" t="str">
        <f>HYPERLINK("https://www.pbo.gov.au/elections/2025-general-election/2025-election-commitments-costings/Regional%20tourism%20grants", "ECR-2025-2161")</f>
        <v>ECR-2025-2161</v>
      </c>
      <c r="C47" s="59" t="s">
        <v>420</v>
      </c>
      <c r="D47" s="60">
        <v>-6.5</v>
      </c>
      <c r="E47" s="60">
        <v>-2.4</v>
      </c>
      <c r="F47" s="60">
        <v>-2.1</v>
      </c>
      <c r="G47" s="60">
        <v>0</v>
      </c>
      <c r="H47" s="60">
        <v>0</v>
      </c>
      <c r="I47" s="60">
        <v>0</v>
      </c>
      <c r="J47" s="60">
        <v>0</v>
      </c>
      <c r="K47" s="60">
        <v>0</v>
      </c>
      <c r="L47" s="60">
        <v>0</v>
      </c>
      <c r="M47" s="60">
        <v>0</v>
      </c>
      <c r="N47" s="60">
        <v>0</v>
      </c>
      <c r="O47" s="60">
        <v>-11</v>
      </c>
      <c r="P47" s="60">
        <v>-11</v>
      </c>
      <c r="Q47" s="61"/>
      <c r="R47" s="61"/>
      <c r="S47" s="59" t="s">
        <v>261</v>
      </c>
      <c r="U47" s="53"/>
      <c r="V47" s="53"/>
      <c r="W47" s="53"/>
      <c r="X47" s="53"/>
      <c r="Y47" s="53"/>
      <c r="Z47" s="53"/>
      <c r="AA47" s="53"/>
      <c r="AB47" s="53"/>
      <c r="AC47" s="53"/>
      <c r="AD47" s="53"/>
      <c r="AE47" s="53"/>
      <c r="AF47" s="53"/>
      <c r="AG47" s="53"/>
    </row>
    <row r="48" spans="2:33" ht="15" customHeight="1" x14ac:dyDescent="0.25">
      <c r="B48" s="135" t="str">
        <f>HYPERLINK("https://www.pbo.gov.au/elections/2025-general-election/2025-election-commitments-costings/Regulation-and-taxation-vaping-products", "ECR-2025-2400")</f>
        <v>ECR-2025-2400</v>
      </c>
      <c r="C48" s="59" t="s">
        <v>228</v>
      </c>
      <c r="D48" s="60">
        <v>631.70000000000005</v>
      </c>
      <c r="E48" s="60">
        <v>887.4</v>
      </c>
      <c r="F48" s="60">
        <v>1038.5999999999999</v>
      </c>
      <c r="G48" s="60">
        <v>1208.5999999999999</v>
      </c>
      <c r="H48" s="60">
        <v>1378.6</v>
      </c>
      <c r="I48" s="60">
        <v>1568.6</v>
      </c>
      <c r="J48" s="60">
        <v>1768.6</v>
      </c>
      <c r="K48" s="60">
        <v>1988.5</v>
      </c>
      <c r="L48" s="60">
        <v>2218.5</v>
      </c>
      <c r="M48" s="60">
        <v>2458.5</v>
      </c>
      <c r="N48" s="60">
        <v>2718.5</v>
      </c>
      <c r="O48" s="60">
        <v>3766.3</v>
      </c>
      <c r="P48" s="60">
        <v>17866.099999999999</v>
      </c>
      <c r="Q48" s="61"/>
      <c r="R48" s="61"/>
      <c r="S48" s="59" t="s">
        <v>304</v>
      </c>
      <c r="U48" s="53"/>
      <c r="V48" s="53"/>
      <c r="W48" s="53"/>
      <c r="X48" s="53"/>
      <c r="Y48" s="53"/>
      <c r="Z48" s="53"/>
      <c r="AA48" s="53"/>
      <c r="AB48" s="53"/>
      <c r="AC48" s="53"/>
      <c r="AD48" s="53"/>
      <c r="AE48" s="53"/>
      <c r="AF48" s="53"/>
      <c r="AG48" s="53"/>
    </row>
    <row r="49" spans="2:33" ht="15" customHeight="1" x14ac:dyDescent="0.25">
      <c r="B49" s="135" t="str">
        <f>HYPERLINK("https://www.pbo.gov.au/elections/2025-general-election/2025-election-commitments-costings/reinstate-native-title-respondent-and-native-title-officer-schemes", "ECR-2025-2634")</f>
        <v>ECR-2025-2634</v>
      </c>
      <c r="C49" s="59" t="s">
        <v>147</v>
      </c>
      <c r="D49" s="60">
        <v>-2</v>
      </c>
      <c r="E49" s="60">
        <v>-2.1</v>
      </c>
      <c r="F49" s="60">
        <v>-2.1</v>
      </c>
      <c r="G49" s="60">
        <v>-2.1</v>
      </c>
      <c r="H49" s="60">
        <v>-2.2000000000000002</v>
      </c>
      <c r="I49" s="60">
        <v>-2.2000000000000002</v>
      </c>
      <c r="J49" s="60">
        <v>-2.2999999999999998</v>
      </c>
      <c r="K49" s="60">
        <v>-2.2999999999999998</v>
      </c>
      <c r="L49" s="60">
        <v>-2.4</v>
      </c>
      <c r="M49" s="60">
        <v>-2.4</v>
      </c>
      <c r="N49" s="60">
        <v>-2.5</v>
      </c>
      <c r="O49" s="60">
        <v>-8.3000000000000007</v>
      </c>
      <c r="P49" s="60">
        <v>-24.6</v>
      </c>
      <c r="Q49" s="61"/>
      <c r="R49" s="61"/>
      <c r="S49" s="59" t="s">
        <v>298</v>
      </c>
      <c r="U49" s="53"/>
      <c r="V49" s="53"/>
      <c r="W49" s="53"/>
      <c r="X49" s="53"/>
      <c r="Y49" s="53"/>
      <c r="Z49" s="53"/>
      <c r="AA49" s="53"/>
      <c r="AB49" s="53"/>
      <c r="AC49" s="53"/>
      <c r="AD49" s="53"/>
      <c r="AE49" s="53"/>
      <c r="AF49" s="53"/>
      <c r="AG49" s="53"/>
    </row>
    <row r="50" spans="2:33" ht="15" customHeight="1" x14ac:dyDescent="0.25">
      <c r="B50" s="135" t="str">
        <f>HYPERLINK("https://www.pbo.gov.au/elections/2025-general-election/2025-election-commitments-costings/repeal-ban-live-sheep-export-sea", "ECR-2025-2623")</f>
        <v>ECR-2025-2623</v>
      </c>
      <c r="C50" s="59" t="s">
        <v>421</v>
      </c>
      <c r="D50" s="60">
        <v>31</v>
      </c>
      <c r="E50" s="60">
        <v>29.3</v>
      </c>
      <c r="F50" s="60">
        <v>15.7</v>
      </c>
      <c r="G50" s="60">
        <v>1.7</v>
      </c>
      <c r="H50" s="60">
        <v>0</v>
      </c>
      <c r="I50" s="60">
        <v>0</v>
      </c>
      <c r="J50" s="60">
        <v>0</v>
      </c>
      <c r="K50" s="60">
        <v>0</v>
      </c>
      <c r="L50" s="60">
        <v>0</v>
      </c>
      <c r="M50" s="60">
        <v>0</v>
      </c>
      <c r="N50" s="60">
        <v>0</v>
      </c>
      <c r="O50" s="60">
        <v>77.7</v>
      </c>
      <c r="P50" s="60">
        <v>77.7</v>
      </c>
      <c r="Q50" s="61"/>
      <c r="R50" s="61"/>
      <c r="S50" s="59" t="s">
        <v>305</v>
      </c>
      <c r="U50" s="53"/>
      <c r="V50" s="53"/>
      <c r="W50" s="53"/>
      <c r="X50" s="53"/>
      <c r="Y50" s="53"/>
      <c r="Z50" s="53"/>
      <c r="AA50" s="53"/>
      <c r="AB50" s="53"/>
      <c r="AC50" s="53"/>
      <c r="AD50" s="53"/>
      <c r="AE50" s="53"/>
      <c r="AF50" s="53"/>
      <c r="AG50" s="53"/>
    </row>
    <row r="51" spans="2:33" ht="15" customHeight="1" x14ac:dyDescent="0.25">
      <c r="B51" s="135" t="str">
        <f>HYPERLINK("https://www.pbo.gov.au/elections/2025-general-election/2025-election-commitments-costings/re-phase-additional-australian-antarctic-program-funding", "ECR-2025-2667")</f>
        <v>ECR-2025-2667</v>
      </c>
      <c r="C51" s="59" t="s">
        <v>161</v>
      </c>
      <c r="D51" s="60">
        <v>3.6</v>
      </c>
      <c r="E51" s="60">
        <v>14.2</v>
      </c>
      <c r="F51" s="60">
        <v>12.2</v>
      </c>
      <c r="G51" s="60">
        <v>12.9</v>
      </c>
      <c r="H51" s="60">
        <v>8</v>
      </c>
      <c r="I51" s="60">
        <v>7.1</v>
      </c>
      <c r="J51" s="60">
        <v>7.4</v>
      </c>
      <c r="K51" s="60">
        <v>6.1</v>
      </c>
      <c r="L51" s="60">
        <v>-35.700000000000003</v>
      </c>
      <c r="M51" s="60">
        <v>-35.799999999999997</v>
      </c>
      <c r="N51" s="60">
        <v>0</v>
      </c>
      <c r="O51" s="60">
        <v>42.9</v>
      </c>
      <c r="P51" s="60">
        <v>0</v>
      </c>
      <c r="Q51" s="61"/>
      <c r="R51" s="61"/>
      <c r="S51" s="59" t="s">
        <v>261</v>
      </c>
      <c r="U51" s="53"/>
      <c r="V51" s="53"/>
      <c r="W51" s="53"/>
      <c r="X51" s="53"/>
      <c r="Y51" s="53"/>
      <c r="Z51" s="53"/>
      <c r="AA51" s="53"/>
      <c r="AB51" s="53"/>
      <c r="AC51" s="53"/>
      <c r="AD51" s="53"/>
      <c r="AE51" s="53"/>
      <c r="AF51" s="53"/>
      <c r="AG51" s="53"/>
    </row>
    <row r="52" spans="2:33" ht="15" customHeight="1" x14ac:dyDescent="0.25">
      <c r="B52" s="135" t="str">
        <f>HYPERLINK("https://www.pbo.gov.au/elections/2025-general-election/2025-election-commitments-costings/Replace-biosecurity-protection-levy-import-container-levy", "ECR-2025-2835")</f>
        <v>ECR-2025-2835</v>
      </c>
      <c r="C52" s="59" t="s">
        <v>248</v>
      </c>
      <c r="D52" s="60">
        <v>-11.4</v>
      </c>
      <c r="E52" s="60">
        <v>-16.600000000000001</v>
      </c>
      <c r="F52" s="60">
        <v>-1</v>
      </c>
      <c r="G52" s="60">
        <v>-0.9</v>
      </c>
      <c r="H52" s="60">
        <v>0.1</v>
      </c>
      <c r="I52" s="60">
        <v>0.1</v>
      </c>
      <c r="J52" s="60">
        <v>0.1</v>
      </c>
      <c r="K52" s="60">
        <v>-0.9</v>
      </c>
      <c r="L52" s="60">
        <v>0.1</v>
      </c>
      <c r="M52" s="60">
        <v>0.1</v>
      </c>
      <c r="N52" s="60">
        <v>-0.9</v>
      </c>
      <c r="O52" s="60">
        <v>-29.9</v>
      </c>
      <c r="P52" s="60">
        <v>-31.2</v>
      </c>
      <c r="Q52" s="61"/>
      <c r="R52" s="61"/>
      <c r="S52" s="59" t="s">
        <v>306</v>
      </c>
      <c r="U52" s="53"/>
      <c r="V52" s="53"/>
      <c r="W52" s="53"/>
      <c r="X52" s="53"/>
      <c r="Y52" s="53"/>
      <c r="Z52" s="53"/>
      <c r="AA52" s="53"/>
      <c r="AB52" s="53"/>
      <c r="AC52" s="53"/>
      <c r="AD52" s="53"/>
      <c r="AE52" s="53"/>
      <c r="AF52" s="53"/>
      <c r="AG52" s="53"/>
    </row>
    <row r="53" spans="2:33" ht="15" customHeight="1" x14ac:dyDescent="0.25">
      <c r="B53" s="59" t="s">
        <v>117</v>
      </c>
      <c r="C53" s="59" t="s">
        <v>395</v>
      </c>
      <c r="D53" s="60">
        <v>0</v>
      </c>
      <c r="E53" s="60">
        <v>0</v>
      </c>
      <c r="F53" s="60">
        <v>0</v>
      </c>
      <c r="G53" s="60">
        <v>0</v>
      </c>
      <c r="H53" s="60">
        <v>0</v>
      </c>
      <c r="I53" s="60">
        <v>0</v>
      </c>
      <c r="J53" s="60">
        <v>0</v>
      </c>
      <c r="K53" s="60">
        <v>0</v>
      </c>
      <c r="L53" s="60">
        <v>0</v>
      </c>
      <c r="M53" s="60">
        <v>0</v>
      </c>
      <c r="N53" s="60">
        <v>0</v>
      </c>
      <c r="O53" s="60">
        <v>0</v>
      </c>
      <c r="P53" s="60">
        <v>0</v>
      </c>
      <c r="Q53" s="61"/>
      <c r="R53" s="61"/>
      <c r="S53" s="59" t="s">
        <v>261</v>
      </c>
      <c r="U53" s="53"/>
      <c r="V53" s="53"/>
      <c r="W53" s="53"/>
      <c r="X53" s="53"/>
      <c r="Y53" s="53"/>
      <c r="Z53" s="53"/>
      <c r="AA53" s="53"/>
      <c r="AB53" s="53"/>
      <c r="AC53" s="53"/>
      <c r="AD53" s="53"/>
      <c r="AE53" s="53"/>
      <c r="AF53" s="53"/>
      <c r="AG53" s="53"/>
    </row>
    <row r="54" spans="2:33" ht="15" customHeight="1" x14ac:dyDescent="0.25">
      <c r="B54" s="59" t="s">
        <v>114</v>
      </c>
      <c r="C54" s="59" t="s">
        <v>396</v>
      </c>
      <c r="D54" s="60">
        <v>0</v>
      </c>
      <c r="E54" s="60">
        <v>0</v>
      </c>
      <c r="F54" s="60">
        <v>0</v>
      </c>
      <c r="G54" s="60">
        <v>0</v>
      </c>
      <c r="H54" s="60">
        <v>0</v>
      </c>
      <c r="I54" s="60">
        <v>0</v>
      </c>
      <c r="J54" s="60">
        <v>0</v>
      </c>
      <c r="K54" s="60">
        <v>0</v>
      </c>
      <c r="L54" s="60">
        <v>0</v>
      </c>
      <c r="M54" s="60">
        <v>0</v>
      </c>
      <c r="N54" s="60">
        <v>0</v>
      </c>
      <c r="O54" s="60">
        <v>0</v>
      </c>
      <c r="P54" s="60">
        <v>0</v>
      </c>
      <c r="Q54" s="61"/>
      <c r="R54" s="61"/>
      <c r="S54" s="59" t="s">
        <v>300</v>
      </c>
      <c r="U54" s="53"/>
      <c r="V54" s="53"/>
      <c r="W54" s="53"/>
      <c r="X54" s="53"/>
      <c r="Y54" s="53"/>
      <c r="Z54" s="53"/>
      <c r="AA54" s="53"/>
      <c r="AB54" s="53"/>
      <c r="AC54" s="53"/>
      <c r="AD54" s="53"/>
      <c r="AE54" s="53"/>
      <c r="AF54" s="53"/>
      <c r="AG54" s="53"/>
    </row>
    <row r="55" spans="2:33" ht="15" customHeight="1" x14ac:dyDescent="0.25">
      <c r="B55" s="135" t="str">
        <f>HYPERLINK("https://www.pbo.gov.au/elections/2025-general-election/2025-election-commitments-costings/Rural%20Financial%20Counselling%20Service%20%E2%80%93%20additional%20funding", "ECR-2025-2811")</f>
        <v>ECR-2025-2811</v>
      </c>
      <c r="C55" s="59" t="s">
        <v>144</v>
      </c>
      <c r="D55" s="60">
        <v>-1.8</v>
      </c>
      <c r="E55" s="60">
        <v>0</v>
      </c>
      <c r="F55" s="60">
        <v>0</v>
      </c>
      <c r="G55" s="60">
        <v>0</v>
      </c>
      <c r="H55" s="60">
        <v>0</v>
      </c>
      <c r="I55" s="60">
        <v>0</v>
      </c>
      <c r="J55" s="60">
        <v>0</v>
      </c>
      <c r="K55" s="60">
        <v>0</v>
      </c>
      <c r="L55" s="60">
        <v>0</v>
      </c>
      <c r="M55" s="60">
        <v>0</v>
      </c>
      <c r="N55" s="60">
        <v>0</v>
      </c>
      <c r="O55" s="60">
        <v>-1.8</v>
      </c>
      <c r="P55" s="60">
        <v>-1.8</v>
      </c>
      <c r="Q55" s="61"/>
      <c r="R55" s="61"/>
      <c r="S55" s="59" t="s">
        <v>298</v>
      </c>
      <c r="U55" s="53"/>
      <c r="V55" s="53"/>
      <c r="W55" s="53"/>
      <c r="X55" s="53"/>
      <c r="Y55" s="53"/>
      <c r="Z55" s="53"/>
      <c r="AA55" s="53"/>
      <c r="AB55" s="53"/>
      <c r="AC55" s="53"/>
      <c r="AD55" s="53"/>
      <c r="AE55" s="53"/>
      <c r="AF55" s="53"/>
      <c r="AG55" s="53"/>
    </row>
    <row r="56" spans="2:33" ht="15" customHeight="1" x14ac:dyDescent="0.25">
      <c r="B56" s="135" t="str">
        <f>HYPERLINK("https://www.pbo.gov.au/elections/2025-general-election/2025-election-commitments-costings/singleton-water-security-project-support", "ECR-2025-2223")</f>
        <v>ECR-2025-2223</v>
      </c>
      <c r="C56" s="59" t="s">
        <v>150</v>
      </c>
      <c r="D56" s="60">
        <v>-3</v>
      </c>
      <c r="E56" s="60">
        <v>-3</v>
      </c>
      <c r="F56" s="60">
        <v>-3</v>
      </c>
      <c r="G56" s="60">
        <v>0</v>
      </c>
      <c r="H56" s="60">
        <v>0</v>
      </c>
      <c r="I56" s="60">
        <v>0</v>
      </c>
      <c r="J56" s="60">
        <v>0</v>
      </c>
      <c r="K56" s="60">
        <v>0</v>
      </c>
      <c r="L56" s="60">
        <v>0</v>
      </c>
      <c r="M56" s="60">
        <v>0</v>
      </c>
      <c r="N56" s="60">
        <v>0</v>
      </c>
      <c r="O56" s="60">
        <v>-9</v>
      </c>
      <c r="P56" s="60">
        <v>-9</v>
      </c>
      <c r="Q56" s="61"/>
      <c r="R56" s="61"/>
      <c r="S56" s="59" t="s">
        <v>307</v>
      </c>
      <c r="U56" s="53"/>
      <c r="V56" s="53"/>
      <c r="W56" s="53"/>
      <c r="X56" s="53"/>
      <c r="Y56" s="53"/>
      <c r="Z56" s="53"/>
      <c r="AA56" s="53"/>
      <c r="AB56" s="53"/>
      <c r="AC56" s="53"/>
      <c r="AD56" s="53"/>
      <c r="AE56" s="53"/>
      <c r="AF56" s="53"/>
      <c r="AG56" s="53"/>
    </row>
    <row r="57" spans="2:33" ht="15" customHeight="1" x14ac:dyDescent="0.25">
      <c r="B57" s="135" t="str">
        <f>HYPERLINK("https://www.pbo.gov.au/elections/2025-general-election/2025-election-commitments-costings/small-business-tax-deductibility-business-related-meal-expenses", "ECR-2025-2491")</f>
        <v>ECR-2025-2491</v>
      </c>
      <c r="C57" s="59" t="s">
        <v>232</v>
      </c>
      <c r="D57" s="60">
        <v>-80</v>
      </c>
      <c r="E57" s="60">
        <v>-133</v>
      </c>
      <c r="F57" s="60">
        <v>-63</v>
      </c>
      <c r="G57" s="60">
        <v>0</v>
      </c>
      <c r="H57" s="60">
        <v>0</v>
      </c>
      <c r="I57" s="60">
        <v>0</v>
      </c>
      <c r="J57" s="60">
        <v>0</v>
      </c>
      <c r="K57" s="60">
        <v>0</v>
      </c>
      <c r="L57" s="60">
        <v>0</v>
      </c>
      <c r="M57" s="60">
        <v>0</v>
      </c>
      <c r="N57" s="60">
        <v>0</v>
      </c>
      <c r="O57" s="60">
        <v>-276</v>
      </c>
      <c r="P57" s="60">
        <v>-276</v>
      </c>
      <c r="Q57" s="61"/>
      <c r="R57" s="61"/>
      <c r="S57" s="59" t="s">
        <v>261</v>
      </c>
      <c r="U57" s="53"/>
      <c r="V57" s="53"/>
      <c r="W57" s="53"/>
      <c r="X57" s="53"/>
      <c r="Y57" s="53"/>
      <c r="Z57" s="53"/>
      <c r="AA57" s="53"/>
      <c r="AB57" s="53"/>
      <c r="AC57" s="53"/>
      <c r="AD57" s="53"/>
      <c r="AE57" s="53"/>
      <c r="AF57" s="53"/>
      <c r="AG57" s="53"/>
    </row>
    <row r="58" spans="2:33" ht="15" customHeight="1" x14ac:dyDescent="0.25">
      <c r="B58" s="135" t="str">
        <f>HYPERLINK("https://www.pbo.gov.au/elections/2025-general-election/2025-election-commitments-costings/student-help-changes-not-proceeding", "ECR-2025-2230")</f>
        <v>ECR-2025-2230</v>
      </c>
      <c r="C58" s="59" t="s">
        <v>469</v>
      </c>
      <c r="D58" s="60">
        <v>288.3</v>
      </c>
      <c r="E58" s="60">
        <v>338.2</v>
      </c>
      <c r="F58" s="60">
        <v>409.1</v>
      </c>
      <c r="G58" s="60">
        <v>497</v>
      </c>
      <c r="H58" s="60">
        <v>585</v>
      </c>
      <c r="I58" s="60">
        <v>677</v>
      </c>
      <c r="J58" s="60">
        <v>768</v>
      </c>
      <c r="K58" s="60">
        <v>833</v>
      </c>
      <c r="L58" s="60">
        <v>921</v>
      </c>
      <c r="M58" s="60">
        <v>1009</v>
      </c>
      <c r="N58" s="60">
        <v>1103</v>
      </c>
      <c r="O58" s="60">
        <v>1720.4</v>
      </c>
      <c r="P58" s="60">
        <v>7616.4</v>
      </c>
      <c r="Q58" s="61"/>
      <c r="R58" s="61"/>
      <c r="S58" s="59" t="s">
        <v>308</v>
      </c>
      <c r="U58" s="53"/>
      <c r="V58" s="53"/>
      <c r="W58" s="53"/>
      <c r="X58" s="53"/>
      <c r="Y58" s="53"/>
      <c r="Z58" s="53"/>
      <c r="AA58" s="53"/>
      <c r="AB58" s="53"/>
      <c r="AC58" s="53"/>
      <c r="AD58" s="53"/>
      <c r="AE58" s="53"/>
      <c r="AF58" s="53"/>
      <c r="AG58" s="53"/>
    </row>
    <row r="59" spans="2:33" ht="15" customHeight="1" x14ac:dyDescent="0.25">
      <c r="B59" s="135" t="str">
        <f>HYPERLINK("https://www.pbo.gov.au/elections/2025-general-election/2025-election-commitments-costings/Student-visa-work-hours-increase", "ECR-2025-2848")</f>
        <v>ECR-2025-2848</v>
      </c>
      <c r="C59" s="59" t="s">
        <v>448</v>
      </c>
      <c r="D59" s="60">
        <v>0</v>
      </c>
      <c r="E59" s="60">
        <v>117</v>
      </c>
      <c r="F59" s="60">
        <v>110</v>
      </c>
      <c r="G59" s="60">
        <v>107</v>
      </c>
      <c r="H59" s="60">
        <v>113</v>
      </c>
      <c r="I59" s="60">
        <v>123</v>
      </c>
      <c r="J59" s="60">
        <v>135</v>
      </c>
      <c r="K59" s="60">
        <v>144</v>
      </c>
      <c r="L59" s="60">
        <v>158</v>
      </c>
      <c r="M59" s="60">
        <v>184</v>
      </c>
      <c r="N59" s="60">
        <v>212</v>
      </c>
      <c r="O59" s="60">
        <v>334</v>
      </c>
      <c r="P59" s="60">
        <v>1403</v>
      </c>
      <c r="Q59" s="61"/>
      <c r="R59" s="61"/>
      <c r="S59" s="59" t="s">
        <v>291</v>
      </c>
      <c r="U59" s="53"/>
      <c r="V59" s="53"/>
      <c r="W59" s="53"/>
      <c r="X59" s="53"/>
      <c r="Y59" s="53"/>
      <c r="Z59" s="53"/>
      <c r="AA59" s="53"/>
      <c r="AB59" s="53"/>
      <c r="AC59" s="53"/>
      <c r="AD59" s="53"/>
      <c r="AE59" s="53"/>
      <c r="AF59" s="53"/>
      <c r="AG59" s="53"/>
    </row>
    <row r="60" spans="2:33" ht="15" customHeight="1" x14ac:dyDescent="0.25">
      <c r="B60" s="135" t="str">
        <f>HYPERLINK("https://www.pbo.gov.au/elections/2025-general-election/2025-election-commitments-costings/tasmanian-freight-equalisation-scheme-resourcing", "ECR-2025-2781")</f>
        <v>ECR-2025-2781</v>
      </c>
      <c r="C60" s="59" t="s">
        <v>233</v>
      </c>
      <c r="D60" s="60">
        <v>-13</v>
      </c>
      <c r="E60" s="60">
        <v>47</v>
      </c>
      <c r="F60" s="60">
        <v>0</v>
      </c>
      <c r="G60" s="60">
        <v>0</v>
      </c>
      <c r="H60" s="60">
        <v>0</v>
      </c>
      <c r="I60" s="60">
        <v>0</v>
      </c>
      <c r="J60" s="60">
        <v>0</v>
      </c>
      <c r="K60" s="60">
        <v>0</v>
      </c>
      <c r="L60" s="60">
        <v>0</v>
      </c>
      <c r="M60" s="60">
        <v>0</v>
      </c>
      <c r="N60" s="60">
        <v>0</v>
      </c>
      <c r="O60" s="60">
        <v>34</v>
      </c>
      <c r="P60" s="60">
        <v>34</v>
      </c>
      <c r="Q60" s="61"/>
      <c r="R60" s="61"/>
      <c r="S60" s="59" t="s">
        <v>309</v>
      </c>
      <c r="U60" s="53"/>
      <c r="V60" s="53"/>
      <c r="W60" s="53"/>
      <c r="X60" s="53"/>
      <c r="Y60" s="53"/>
      <c r="Z60" s="53"/>
      <c r="AA60" s="53"/>
      <c r="AB60" s="53"/>
      <c r="AC60" s="53"/>
      <c r="AD60" s="53"/>
      <c r="AE60" s="53"/>
      <c r="AF60" s="53"/>
      <c r="AG60" s="53"/>
    </row>
    <row r="61" spans="2:33" ht="15" customHeight="1" x14ac:dyDescent="0.25">
      <c r="B61" s="135" t="str">
        <f>HYPERLINK("https://www.pbo.gov.au/elections/2025-general-election/2025-election-commitments-costings/Tax%20breaks%20for%20electric%20vehicle%20%E2%80%93%20reverse", "ECR-2025-2045")</f>
        <v>ECR-2025-2045</v>
      </c>
      <c r="C61" s="59" t="s">
        <v>422</v>
      </c>
      <c r="D61" s="60">
        <v>285</v>
      </c>
      <c r="E61" s="60">
        <v>623</v>
      </c>
      <c r="F61" s="60">
        <v>945</v>
      </c>
      <c r="G61" s="60">
        <v>1319</v>
      </c>
      <c r="H61" s="60">
        <v>1664</v>
      </c>
      <c r="I61" s="60">
        <v>2000</v>
      </c>
      <c r="J61" s="60">
        <v>2426</v>
      </c>
      <c r="K61" s="60">
        <v>2848</v>
      </c>
      <c r="L61" s="60">
        <v>3316</v>
      </c>
      <c r="M61" s="60">
        <v>3774</v>
      </c>
      <c r="N61" s="60">
        <v>4247</v>
      </c>
      <c r="O61" s="60">
        <v>3172</v>
      </c>
      <c r="P61" s="60">
        <v>23447</v>
      </c>
      <c r="Q61" s="61"/>
      <c r="R61" s="61"/>
      <c r="S61" s="59" t="s">
        <v>261</v>
      </c>
      <c r="U61" s="53"/>
      <c r="V61" s="53"/>
      <c r="W61" s="53"/>
      <c r="X61" s="53"/>
      <c r="Y61" s="53"/>
      <c r="Z61" s="53"/>
      <c r="AA61" s="53"/>
      <c r="AB61" s="53"/>
      <c r="AC61" s="53"/>
      <c r="AD61" s="53"/>
      <c r="AE61" s="53"/>
      <c r="AF61" s="53"/>
      <c r="AG61" s="53"/>
    </row>
    <row r="62" spans="2:33" ht="15" customHeight="1" x14ac:dyDescent="0.25">
      <c r="B62" s="135" t="str">
        <f>HYPERLINK("https://www.pbo.gov.au/elections/2025-general-election/2025-election-commitments-costings/Tax-unrealised-capital-gains-do-not-proceed", "ECR-2025-2011")</f>
        <v>ECR-2025-2011</v>
      </c>
      <c r="C62" s="59" t="s">
        <v>371</v>
      </c>
      <c r="D62" s="60">
        <v>-314</v>
      </c>
      <c r="E62" s="60">
        <v>-619.20000000000005</v>
      </c>
      <c r="F62" s="60">
        <v>-2226.6</v>
      </c>
      <c r="G62" s="60">
        <v>-2677.5</v>
      </c>
      <c r="H62" s="60">
        <v>-3187.7</v>
      </c>
      <c r="I62" s="60">
        <v>-3747.7</v>
      </c>
      <c r="J62" s="60">
        <v>-4377.7</v>
      </c>
      <c r="K62" s="60">
        <v>-5117.7</v>
      </c>
      <c r="L62" s="60">
        <v>-5967.7</v>
      </c>
      <c r="M62" s="60">
        <v>-6967.7</v>
      </c>
      <c r="N62" s="60">
        <v>-8137.7</v>
      </c>
      <c r="O62" s="60">
        <v>-5837.3</v>
      </c>
      <c r="P62" s="60">
        <v>-43341.2</v>
      </c>
      <c r="Q62" s="61"/>
      <c r="R62" s="61"/>
      <c r="S62" s="59" t="s">
        <v>261</v>
      </c>
      <c r="U62" s="53"/>
      <c r="V62" s="53"/>
      <c r="W62" s="53"/>
      <c r="X62" s="53"/>
      <c r="Y62" s="53"/>
      <c r="Z62" s="53"/>
      <c r="AA62" s="53"/>
      <c r="AB62" s="53"/>
      <c r="AC62" s="53"/>
      <c r="AD62" s="53"/>
      <c r="AE62" s="53"/>
      <c r="AF62" s="53"/>
      <c r="AG62" s="53"/>
    </row>
    <row r="63" spans="2:33" ht="15" customHeight="1" x14ac:dyDescent="0.25">
      <c r="B63" s="135" t="str">
        <f>HYPERLINK("https://www.pbo.gov.au/elections/2025-general-election/2025-election-commitments-costings/Tech%20Booster", "ECR-2025-2670")</f>
        <v>ECR-2025-2670</v>
      </c>
      <c r="C63" s="59" t="s">
        <v>219</v>
      </c>
      <c r="D63" s="60">
        <v>-3</v>
      </c>
      <c r="E63" s="60">
        <v>-42.3</v>
      </c>
      <c r="F63" s="60">
        <v>-65.8</v>
      </c>
      <c r="G63" s="60">
        <v>-29.1</v>
      </c>
      <c r="H63" s="60">
        <v>-6.5</v>
      </c>
      <c r="I63" s="60">
        <v>0</v>
      </c>
      <c r="J63" s="60">
        <v>0</v>
      </c>
      <c r="K63" s="60">
        <v>0</v>
      </c>
      <c r="L63" s="60">
        <v>0</v>
      </c>
      <c r="M63" s="60">
        <v>0</v>
      </c>
      <c r="N63" s="60">
        <v>0</v>
      </c>
      <c r="O63" s="60">
        <v>-140.19999999999999</v>
      </c>
      <c r="P63" s="60">
        <v>-146.69999999999999</v>
      </c>
      <c r="Q63" s="61"/>
      <c r="R63" s="61"/>
      <c r="S63" s="59" t="s">
        <v>266</v>
      </c>
      <c r="U63" s="53"/>
      <c r="V63" s="53"/>
      <c r="W63" s="53"/>
      <c r="X63" s="53"/>
      <c r="Y63" s="53"/>
      <c r="Z63" s="53"/>
      <c r="AA63" s="53"/>
      <c r="AB63" s="53"/>
      <c r="AC63" s="53"/>
      <c r="AD63" s="53"/>
      <c r="AE63" s="53"/>
      <c r="AF63" s="53"/>
      <c r="AG63" s="53"/>
    </row>
    <row r="64" spans="2:33" ht="15" customHeight="1" x14ac:dyDescent="0.25">
      <c r="B64" s="135" t="str">
        <f>HYPERLINK("https://www.pbo.gov.au/elections/2025-general-election/2025-election-commitments-costings/timber-manufacturing-expansion-program", "ECR-2025-2436")</f>
        <v>ECR-2025-2436</v>
      </c>
      <c r="C64" s="59" t="s">
        <v>151</v>
      </c>
      <c r="D64" s="60">
        <v>-13.4</v>
      </c>
      <c r="E64" s="60">
        <v>-13.3</v>
      </c>
      <c r="F64" s="60">
        <v>-13.3</v>
      </c>
      <c r="G64" s="60">
        <v>0</v>
      </c>
      <c r="H64" s="60">
        <v>0</v>
      </c>
      <c r="I64" s="60">
        <v>0</v>
      </c>
      <c r="J64" s="60">
        <v>0</v>
      </c>
      <c r="K64" s="60">
        <v>0</v>
      </c>
      <c r="L64" s="60">
        <v>0</v>
      </c>
      <c r="M64" s="60">
        <v>0</v>
      </c>
      <c r="N64" s="60">
        <v>0</v>
      </c>
      <c r="O64" s="60">
        <v>-40</v>
      </c>
      <c r="P64" s="60">
        <v>-40</v>
      </c>
      <c r="Q64" s="61"/>
      <c r="R64" s="61"/>
      <c r="S64" s="59" t="s">
        <v>310</v>
      </c>
      <c r="U64" s="53"/>
      <c r="V64" s="53"/>
      <c r="W64" s="53"/>
      <c r="X64" s="53"/>
      <c r="Y64" s="53"/>
      <c r="Z64" s="53"/>
      <c r="AA64" s="53"/>
      <c r="AB64" s="53"/>
      <c r="AC64" s="53"/>
      <c r="AD64" s="53"/>
      <c r="AE64" s="53"/>
      <c r="AF64" s="53"/>
      <c r="AG64" s="53"/>
    </row>
    <row r="65" spans="2:33" ht="15" customHeight="1" x14ac:dyDescent="0.25">
      <c r="B65" s="62" t="s">
        <v>376</v>
      </c>
      <c r="C65" s="62"/>
      <c r="D65" s="63">
        <v>-5274.5</v>
      </c>
      <c r="E65" s="63">
        <v>-2289.4</v>
      </c>
      <c r="F65" s="63">
        <v>10169.700000000001</v>
      </c>
      <c r="G65" s="63">
        <v>14154</v>
      </c>
      <c r="H65" s="63">
        <v>17091.5</v>
      </c>
      <c r="I65" s="63">
        <v>18767.8</v>
      </c>
      <c r="J65" s="63">
        <v>19486.900000000001</v>
      </c>
      <c r="K65" s="63">
        <v>19947.099999999999</v>
      </c>
      <c r="L65" s="63">
        <v>20397</v>
      </c>
      <c r="M65" s="63">
        <v>20692</v>
      </c>
      <c r="N65" s="63">
        <v>20925.5</v>
      </c>
      <c r="O65" s="63">
        <v>16947.599999999999</v>
      </c>
      <c r="P65" s="63">
        <v>154255.4</v>
      </c>
      <c r="Q65" s="64" t="s">
        <v>9</v>
      </c>
      <c r="R65" s="64"/>
      <c r="S65" s="62" t="s">
        <v>10</v>
      </c>
      <c r="U65" s="53"/>
      <c r="V65" s="53"/>
      <c r="W65" s="53"/>
      <c r="X65" s="53"/>
      <c r="Y65" s="53"/>
      <c r="Z65" s="53"/>
      <c r="AA65" s="53"/>
      <c r="AB65" s="53"/>
      <c r="AC65" s="53"/>
      <c r="AD65" s="53"/>
      <c r="AE65" s="53"/>
      <c r="AF65" s="53"/>
      <c r="AG65" s="53"/>
    </row>
    <row r="66" spans="2:33" ht="15" customHeight="1" x14ac:dyDescent="0.25">
      <c r="B66" s="81" t="s">
        <v>100</v>
      </c>
      <c r="C66" s="3"/>
      <c r="D66" s="55" t="s">
        <v>10</v>
      </c>
      <c r="E66" s="55" t="s">
        <v>10</v>
      </c>
      <c r="F66" s="55" t="s">
        <v>10</v>
      </c>
      <c r="G66" s="55" t="s">
        <v>10</v>
      </c>
      <c r="H66" s="55" t="s">
        <v>10</v>
      </c>
      <c r="I66" s="55" t="s">
        <v>10</v>
      </c>
      <c r="J66" s="55" t="s">
        <v>10</v>
      </c>
      <c r="K66" s="55" t="s">
        <v>10</v>
      </c>
      <c r="L66" s="55" t="s">
        <v>10</v>
      </c>
      <c r="M66" s="55" t="s">
        <v>10</v>
      </c>
      <c r="N66" s="55" t="s">
        <v>10</v>
      </c>
      <c r="O66" s="55" t="s">
        <v>10</v>
      </c>
      <c r="P66" s="55" t="s">
        <v>10</v>
      </c>
      <c r="Q66" s="4"/>
      <c r="R66" s="4"/>
      <c r="S66" s="3" t="s">
        <v>10</v>
      </c>
      <c r="U66" s="53"/>
      <c r="V66" s="53"/>
      <c r="W66" s="53"/>
      <c r="X66" s="53"/>
      <c r="Y66" s="53"/>
      <c r="Z66" s="53"/>
      <c r="AA66" s="53"/>
      <c r="AB66" s="53"/>
      <c r="AC66" s="53"/>
      <c r="AD66" s="53"/>
      <c r="AE66" s="53"/>
      <c r="AF66" s="53"/>
      <c r="AG66" s="53"/>
    </row>
    <row r="67" spans="2:33" ht="15" customHeight="1" x14ac:dyDescent="0.25">
      <c r="B67" s="135" t="s">
        <v>382</v>
      </c>
      <c r="C67" s="59" t="s">
        <v>607</v>
      </c>
      <c r="D67" s="60">
        <v>-153.69999999999999</v>
      </c>
      <c r="E67" s="60">
        <v>-174.6</v>
      </c>
      <c r="F67" s="60">
        <v>-197.8</v>
      </c>
      <c r="G67" s="60">
        <v>-156.1</v>
      </c>
      <c r="H67" s="60">
        <v>-225.1</v>
      </c>
      <c r="I67" s="60">
        <v>-346.1</v>
      </c>
      <c r="J67" s="60">
        <v>-537</v>
      </c>
      <c r="K67" s="60">
        <v>-787.9</v>
      </c>
      <c r="L67" s="60">
        <v>-1079</v>
      </c>
      <c r="M67" s="60">
        <v>-1439.9</v>
      </c>
      <c r="N67" s="60">
        <v>-1910.8</v>
      </c>
      <c r="O67" s="60">
        <v>-682.2</v>
      </c>
      <c r="P67" s="60">
        <v>-7008</v>
      </c>
      <c r="Q67" s="61"/>
      <c r="R67" s="61"/>
      <c r="S67" s="59" t="s">
        <v>261</v>
      </c>
      <c r="U67" s="53"/>
      <c r="V67" s="53"/>
      <c r="W67" s="53"/>
      <c r="X67" s="53"/>
      <c r="Y67" s="53"/>
      <c r="Z67" s="53"/>
      <c r="AA67" s="53"/>
      <c r="AB67" s="53"/>
      <c r="AC67" s="53"/>
      <c r="AD67" s="53"/>
      <c r="AE67" s="53"/>
      <c r="AF67" s="53"/>
      <c r="AG67" s="53"/>
    </row>
    <row r="68" spans="2:33" ht="15" customHeight="1" x14ac:dyDescent="0.25">
      <c r="B68" s="135" t="str">
        <f>HYPERLINK("https://www.pbo.gov.au/elections/2025-general-election/2025-election-commitments-costings/daintree-renewable-energy-microgrid-project-support", "ECR-2025-2715")</f>
        <v>ECR-2025-2715</v>
      </c>
      <c r="C68" s="59" t="s">
        <v>171</v>
      </c>
      <c r="D68" s="60">
        <v>-6.3</v>
      </c>
      <c r="E68" s="60">
        <v>-6.3</v>
      </c>
      <c r="F68" s="60">
        <v>-6.2</v>
      </c>
      <c r="G68" s="60">
        <v>0</v>
      </c>
      <c r="H68" s="60">
        <v>0</v>
      </c>
      <c r="I68" s="60">
        <v>0</v>
      </c>
      <c r="J68" s="60">
        <v>0</v>
      </c>
      <c r="K68" s="60">
        <v>0</v>
      </c>
      <c r="L68" s="60">
        <v>0</v>
      </c>
      <c r="M68" s="60">
        <v>0</v>
      </c>
      <c r="N68" s="60">
        <v>0</v>
      </c>
      <c r="O68" s="60">
        <v>-18.8</v>
      </c>
      <c r="P68" s="60">
        <v>-18.8</v>
      </c>
      <c r="Q68" s="61"/>
      <c r="R68" s="61"/>
      <c r="S68" s="59" t="s">
        <v>261</v>
      </c>
      <c r="U68" s="53"/>
      <c r="V68" s="53"/>
      <c r="W68" s="53"/>
      <c r="X68" s="53"/>
      <c r="Y68" s="53"/>
      <c r="Z68" s="53"/>
      <c r="AA68" s="53"/>
      <c r="AB68" s="53"/>
      <c r="AC68" s="53"/>
      <c r="AD68" s="53"/>
      <c r="AE68" s="53"/>
      <c r="AF68" s="53"/>
      <c r="AG68" s="53"/>
    </row>
    <row r="69" spans="2:33" ht="15" customHeight="1" x14ac:dyDescent="0.25">
      <c r="B69" s="135" t="str">
        <f>HYPERLINK("https://www.pbo.gov.au/elections/2025-general-election/2025-election-commitments-costings/Deliver%20a%20National%20Gas%20Plan%20%E2%80%93%20%241%20billion%20Critical%20Gas%20Infrastructure%20Fund", "ECR-2025-2455")</f>
        <v>ECR-2025-2455</v>
      </c>
      <c r="C69" s="59" t="s">
        <v>243</v>
      </c>
      <c r="D69" s="60">
        <v>1.3</v>
      </c>
      <c r="E69" s="60">
        <v>3.2</v>
      </c>
      <c r="F69" s="60">
        <v>4.9000000000000004</v>
      </c>
      <c r="G69" s="60">
        <v>7.1</v>
      </c>
      <c r="H69" s="60">
        <v>9.5</v>
      </c>
      <c r="I69" s="60">
        <v>8.9</v>
      </c>
      <c r="J69" s="60">
        <v>10.5</v>
      </c>
      <c r="K69" s="60">
        <v>12.6</v>
      </c>
      <c r="L69" s="60">
        <v>15.2</v>
      </c>
      <c r="M69" s="60">
        <v>18</v>
      </c>
      <c r="N69" s="60">
        <v>20.8</v>
      </c>
      <c r="O69" s="60">
        <v>16.5</v>
      </c>
      <c r="P69" s="60">
        <v>112</v>
      </c>
      <c r="Q69" s="61"/>
      <c r="R69" s="61"/>
      <c r="S69" s="59" t="s">
        <v>296</v>
      </c>
      <c r="U69" s="53"/>
      <c r="V69" s="53"/>
      <c r="W69" s="53"/>
      <c r="X69" s="53"/>
      <c r="Y69" s="53"/>
      <c r="Z69" s="53"/>
      <c r="AA69" s="53"/>
      <c r="AB69" s="53"/>
      <c r="AC69" s="53"/>
      <c r="AD69" s="53"/>
      <c r="AE69" s="53"/>
      <c r="AF69" s="53"/>
      <c r="AG69" s="53"/>
    </row>
    <row r="70" spans="2:33" ht="15" customHeight="1" x14ac:dyDescent="0.25">
      <c r="B70" s="135" t="str">
        <f>HYPERLINK("https://www.pbo.gov.au/elections/2025-general-election/2025-election-commitments-costings/Deliver%20a%20National%20Gas%20Plan%20%E2%80%93%20Strategic%20Basin%20Plan", "ECR-2025-2578")</f>
        <v>ECR-2025-2578</v>
      </c>
      <c r="C70" s="59" t="s">
        <v>631</v>
      </c>
      <c r="D70" s="60">
        <v>-58.9</v>
      </c>
      <c r="E70" s="60">
        <v>-18.600000000000001</v>
      </c>
      <c r="F70" s="60">
        <v>-36.299999999999997</v>
      </c>
      <c r="G70" s="60">
        <v>-36.299999999999997</v>
      </c>
      <c r="H70" s="60">
        <v>-150</v>
      </c>
      <c r="I70" s="60">
        <v>0</v>
      </c>
      <c r="J70" s="60">
        <v>0</v>
      </c>
      <c r="K70" s="60">
        <v>0</v>
      </c>
      <c r="L70" s="60">
        <v>0</v>
      </c>
      <c r="M70" s="60">
        <v>0</v>
      </c>
      <c r="N70" s="60">
        <v>0</v>
      </c>
      <c r="O70" s="60">
        <v>-150.1</v>
      </c>
      <c r="P70" s="60">
        <v>-300.10000000000002</v>
      </c>
      <c r="Q70" s="61"/>
      <c r="R70" s="61"/>
      <c r="S70" s="59" t="s">
        <v>261</v>
      </c>
      <c r="U70" s="53"/>
      <c r="V70" s="53"/>
      <c r="W70" s="53"/>
      <c r="X70" s="53"/>
      <c r="Y70" s="53"/>
      <c r="Z70" s="53"/>
      <c r="AA70" s="53"/>
      <c r="AB70" s="53"/>
      <c r="AC70" s="53"/>
      <c r="AD70" s="53"/>
      <c r="AE70" s="53"/>
      <c r="AF70" s="53"/>
      <c r="AG70" s="53"/>
    </row>
    <row r="71" spans="2:33" ht="15" customHeight="1" x14ac:dyDescent="0.25">
      <c r="B71" s="135" t="str">
        <f>HYPERLINK("https://www.pbo.gov.au/elections/2025-general-election/2025-election-commitments-costings/home-batteries-program-redirect", "ECR-2025-2129")</f>
        <v>ECR-2025-2129</v>
      </c>
      <c r="C71" s="59" t="s">
        <v>223</v>
      </c>
      <c r="D71" s="60">
        <v>410.5</v>
      </c>
      <c r="E71" s="60">
        <v>720.7</v>
      </c>
      <c r="F71" s="60">
        <v>613.79999999999995</v>
      </c>
      <c r="G71" s="60">
        <v>590.4</v>
      </c>
      <c r="H71" s="60">
        <v>602.4</v>
      </c>
      <c r="I71" s="60">
        <v>455.8</v>
      </c>
      <c r="J71" s="60">
        <v>148.19999999999999</v>
      </c>
      <c r="K71" s="60">
        <v>0.3</v>
      </c>
      <c r="L71" s="60">
        <v>0.3</v>
      </c>
      <c r="M71" s="60">
        <v>0.3</v>
      </c>
      <c r="N71" s="60">
        <v>0</v>
      </c>
      <c r="O71" s="60">
        <v>2335.4</v>
      </c>
      <c r="P71" s="60">
        <v>3542.7</v>
      </c>
      <c r="Q71" s="61"/>
      <c r="R71" s="61"/>
      <c r="S71" s="59" t="s">
        <v>261</v>
      </c>
      <c r="U71" s="53"/>
      <c r="V71" s="53"/>
      <c r="W71" s="53"/>
      <c r="X71" s="53"/>
      <c r="Y71" s="53"/>
      <c r="Z71" s="53"/>
      <c r="AA71" s="53"/>
      <c r="AB71" s="53"/>
      <c r="AC71" s="53"/>
      <c r="AD71" s="53"/>
      <c r="AE71" s="53"/>
      <c r="AF71" s="53"/>
      <c r="AG71" s="53"/>
    </row>
    <row r="72" spans="2:33" ht="15" customHeight="1" x14ac:dyDescent="0.25">
      <c r="B72" s="135" t="str">
        <f>HYPERLINK("https://www.pbo.gov.au/elections/2025-general-election/2025-election-commitments-costings/redirect-funding-DCCEEW", "ECR-2025-2110")</f>
        <v>ECR-2025-2110</v>
      </c>
      <c r="C72" s="59" t="s">
        <v>170</v>
      </c>
      <c r="D72" s="60">
        <v>38.1</v>
      </c>
      <c r="E72" s="60">
        <v>9.5</v>
      </c>
      <c r="F72" s="60">
        <v>0</v>
      </c>
      <c r="G72" s="60">
        <v>0</v>
      </c>
      <c r="H72" s="60">
        <v>0</v>
      </c>
      <c r="I72" s="60">
        <v>0</v>
      </c>
      <c r="J72" s="60">
        <v>0</v>
      </c>
      <c r="K72" s="60">
        <v>0</v>
      </c>
      <c r="L72" s="60">
        <v>0</v>
      </c>
      <c r="M72" s="60">
        <v>0</v>
      </c>
      <c r="N72" s="60">
        <v>0</v>
      </c>
      <c r="O72" s="60">
        <v>47.6</v>
      </c>
      <c r="P72" s="60">
        <v>47.6</v>
      </c>
      <c r="Q72" s="61"/>
      <c r="R72" s="61"/>
      <c r="S72" s="59" t="s">
        <v>261</v>
      </c>
      <c r="U72" s="53"/>
      <c r="V72" s="53"/>
      <c r="W72" s="53"/>
      <c r="X72" s="53"/>
      <c r="Y72" s="53"/>
      <c r="Z72" s="53"/>
      <c r="AA72" s="53"/>
      <c r="AB72" s="53"/>
      <c r="AC72" s="53"/>
      <c r="AD72" s="53"/>
      <c r="AE72" s="53"/>
      <c r="AF72" s="53"/>
      <c r="AG72" s="53"/>
    </row>
    <row r="73" spans="2:33" ht="15" customHeight="1" x14ac:dyDescent="0.25">
      <c r="B73" s="135" t="str">
        <f>HYPERLINK("https://www.pbo.gov.au/elections/2025-general-election/2025-election-commitments-costings/restoring-ARENA-its-original-function", "ECR-2025-2784")</f>
        <v>ECR-2025-2784</v>
      </c>
      <c r="C73" s="59" t="s">
        <v>169</v>
      </c>
      <c r="D73" s="60">
        <v>168</v>
      </c>
      <c r="E73" s="60">
        <v>272</v>
      </c>
      <c r="F73" s="60">
        <v>590</v>
      </c>
      <c r="G73" s="60">
        <v>695</v>
      </c>
      <c r="H73" s="60">
        <v>677</v>
      </c>
      <c r="I73" s="60">
        <v>671</v>
      </c>
      <c r="J73" s="60">
        <v>572</v>
      </c>
      <c r="K73" s="60">
        <v>490</v>
      </c>
      <c r="L73" s="60">
        <v>465</v>
      </c>
      <c r="M73" s="60">
        <v>265</v>
      </c>
      <c r="N73" s="60">
        <v>265</v>
      </c>
      <c r="O73" s="60">
        <v>1725</v>
      </c>
      <c r="P73" s="60">
        <v>5130</v>
      </c>
      <c r="Q73" s="61"/>
      <c r="R73" s="61"/>
      <c r="S73" s="59" t="s">
        <v>261</v>
      </c>
      <c r="U73" s="53"/>
      <c r="V73" s="53"/>
      <c r="W73" s="53"/>
      <c r="X73" s="53"/>
      <c r="Y73" s="53"/>
      <c r="Z73" s="53"/>
      <c r="AA73" s="53"/>
      <c r="AB73" s="53"/>
      <c r="AC73" s="53"/>
      <c r="AD73" s="53"/>
      <c r="AE73" s="53"/>
      <c r="AF73" s="53"/>
      <c r="AG73" s="53"/>
    </row>
    <row r="74" spans="2:33" ht="15" customHeight="1" x14ac:dyDescent="0.25">
      <c r="B74" s="135" t="str">
        <f>HYPERLINK("https://www.pbo.gov.au/elections/2025-general-election/2025-election-commitments-costings/Rewiring%20the%20Nation%20Fund%20%E2%80%93%20unwind%20and%20redirect", "ECR-2025-2173")</f>
        <v>ECR-2025-2173</v>
      </c>
      <c r="C74" s="59" t="s">
        <v>172</v>
      </c>
      <c r="D74" s="60">
        <v>28.9</v>
      </c>
      <c r="E74" s="60">
        <v>25</v>
      </c>
      <c r="F74" s="60">
        <v>25.2</v>
      </c>
      <c r="G74" s="60">
        <v>18.2</v>
      </c>
      <c r="H74" s="60">
        <v>18</v>
      </c>
      <c r="I74" s="60">
        <v>18.7</v>
      </c>
      <c r="J74" s="60">
        <v>19.600000000000001</v>
      </c>
      <c r="K74" s="60">
        <v>20.399999999999999</v>
      </c>
      <c r="L74" s="60">
        <v>21.4</v>
      </c>
      <c r="M74" s="60">
        <v>22.3</v>
      </c>
      <c r="N74" s="60">
        <v>23.5</v>
      </c>
      <c r="O74" s="60">
        <v>97.3</v>
      </c>
      <c r="P74" s="60">
        <v>241.2</v>
      </c>
      <c r="Q74" s="61"/>
      <c r="R74" s="61"/>
      <c r="S74" s="59" t="s">
        <v>261</v>
      </c>
      <c r="U74" s="53"/>
      <c r="V74" s="53"/>
      <c r="W74" s="53"/>
      <c r="X74" s="53"/>
      <c r="Y74" s="53"/>
      <c r="Z74" s="53"/>
      <c r="AA74" s="53"/>
      <c r="AB74" s="53"/>
      <c r="AC74" s="53"/>
      <c r="AD74" s="53"/>
      <c r="AE74" s="53"/>
      <c r="AF74" s="53"/>
      <c r="AG74" s="53"/>
    </row>
    <row r="75" spans="2:33" ht="15" customHeight="1" x14ac:dyDescent="0.25">
      <c r="B75" s="62" t="s">
        <v>377</v>
      </c>
      <c r="C75" s="62"/>
      <c r="D75" s="63">
        <v>427.9</v>
      </c>
      <c r="E75" s="63">
        <v>830.9</v>
      </c>
      <c r="F75" s="63">
        <v>993.6</v>
      </c>
      <c r="G75" s="63">
        <v>1118.3</v>
      </c>
      <c r="H75" s="63">
        <v>931.8</v>
      </c>
      <c r="I75" s="63">
        <v>808.3</v>
      </c>
      <c r="J75" s="63">
        <v>213.3</v>
      </c>
      <c r="K75" s="63">
        <v>-264.60000000000002</v>
      </c>
      <c r="L75" s="63">
        <v>-577.1</v>
      </c>
      <c r="M75" s="63">
        <v>-1134.3</v>
      </c>
      <c r="N75" s="63">
        <v>-1601.5</v>
      </c>
      <c r="O75" s="63">
        <v>3370.7</v>
      </c>
      <c r="P75" s="63">
        <v>1746.6</v>
      </c>
      <c r="Q75" s="64" t="s">
        <v>9</v>
      </c>
      <c r="R75" s="64"/>
      <c r="S75" s="62" t="s">
        <v>10</v>
      </c>
      <c r="U75" s="53"/>
      <c r="V75" s="53"/>
      <c r="W75" s="53"/>
      <c r="X75" s="53"/>
      <c r="Y75" s="53"/>
      <c r="Z75" s="53"/>
      <c r="AA75" s="53"/>
      <c r="AB75" s="53"/>
      <c r="AC75" s="53"/>
      <c r="AD75" s="53"/>
      <c r="AE75" s="53"/>
      <c r="AF75" s="53"/>
      <c r="AG75" s="53"/>
    </row>
    <row r="76" spans="2:33" ht="15" customHeight="1" x14ac:dyDescent="0.25">
      <c r="B76" s="81" t="s">
        <v>99</v>
      </c>
      <c r="C76" s="3"/>
      <c r="D76" s="55" t="s">
        <v>10</v>
      </c>
      <c r="E76" s="55" t="s">
        <v>10</v>
      </c>
      <c r="F76" s="55" t="s">
        <v>10</v>
      </c>
      <c r="G76" s="55" t="s">
        <v>10</v>
      </c>
      <c r="H76" s="55" t="s">
        <v>10</v>
      </c>
      <c r="I76" s="55" t="s">
        <v>10</v>
      </c>
      <c r="J76" s="55" t="s">
        <v>10</v>
      </c>
      <c r="K76" s="55" t="s">
        <v>10</v>
      </c>
      <c r="L76" s="55" t="s">
        <v>10</v>
      </c>
      <c r="M76" s="55" t="s">
        <v>10</v>
      </c>
      <c r="N76" s="55" t="s">
        <v>10</v>
      </c>
      <c r="O76" s="55" t="s">
        <v>10</v>
      </c>
      <c r="P76" s="55" t="s">
        <v>10</v>
      </c>
      <c r="Q76" s="4"/>
      <c r="R76" s="4"/>
      <c r="S76" s="3" t="s">
        <v>10</v>
      </c>
      <c r="U76" s="53"/>
      <c r="V76" s="53"/>
      <c r="W76" s="53"/>
      <c r="X76" s="53"/>
      <c r="Y76" s="53"/>
      <c r="Z76" s="53"/>
      <c r="AA76" s="53"/>
      <c r="AB76" s="53"/>
      <c r="AC76" s="53"/>
      <c r="AD76" s="53"/>
      <c r="AE76" s="53"/>
      <c r="AF76" s="53"/>
      <c r="AG76" s="53"/>
    </row>
    <row r="77" spans="2:33" ht="15" customHeight="1" x14ac:dyDescent="0.25">
      <c r="B77" s="135" t="str">
        <f>HYPERLINK("https://www.pbo.gov.au/elections/2025-general-election/2025-election-commitments-costings/agricultural-and-mining-roads-program", "ECR-2025-2368")</f>
        <v>ECR-2025-2368</v>
      </c>
      <c r="C77" s="59" t="s">
        <v>423</v>
      </c>
      <c r="D77" s="60">
        <v>-150</v>
      </c>
      <c r="E77" s="60">
        <v>-150</v>
      </c>
      <c r="F77" s="60">
        <v>-150</v>
      </c>
      <c r="G77" s="60">
        <v>-150</v>
      </c>
      <c r="H77" s="60">
        <v>0</v>
      </c>
      <c r="I77" s="60">
        <v>0</v>
      </c>
      <c r="J77" s="60">
        <v>0</v>
      </c>
      <c r="K77" s="60">
        <v>0</v>
      </c>
      <c r="L77" s="60">
        <v>0</v>
      </c>
      <c r="M77" s="60">
        <v>0</v>
      </c>
      <c r="N77" s="60">
        <v>0</v>
      </c>
      <c r="O77" s="60">
        <v>-600</v>
      </c>
      <c r="P77" s="60">
        <v>-600</v>
      </c>
      <c r="Q77" s="61"/>
      <c r="R77" s="61"/>
      <c r="S77" s="59" t="s">
        <v>261</v>
      </c>
      <c r="U77" s="53"/>
      <c r="V77" s="53"/>
      <c r="W77" s="53"/>
      <c r="X77" s="53"/>
      <c r="Y77" s="53"/>
      <c r="Z77" s="53"/>
      <c r="AA77" s="53"/>
      <c r="AB77" s="53"/>
      <c r="AC77" s="53"/>
      <c r="AD77" s="53"/>
      <c r="AE77" s="53"/>
      <c r="AF77" s="53"/>
      <c r="AG77" s="53"/>
    </row>
    <row r="78" spans="2:33" ht="15" customHeight="1" x14ac:dyDescent="0.25">
      <c r="B78" s="135" t="str">
        <f>HYPERLINK("https://www.pbo.gov.au/elections/2025-general-election/2025-election-commitments-costings/Better-transport-and-telecommunications-infrastructure", "ECR-2025-2328")</f>
        <v>ECR-2025-2328</v>
      </c>
      <c r="C78" s="59" t="s">
        <v>252</v>
      </c>
      <c r="D78" s="60">
        <v>-130.19999999999999</v>
      </c>
      <c r="E78" s="60">
        <v>-418.2</v>
      </c>
      <c r="F78" s="60">
        <v>-531</v>
      </c>
      <c r="G78" s="60">
        <v>-342.3</v>
      </c>
      <c r="H78" s="60">
        <v>-181.4</v>
      </c>
      <c r="I78" s="60">
        <v>-82</v>
      </c>
      <c r="J78" s="60">
        <v>-70.7</v>
      </c>
      <c r="K78" s="60">
        <v>-8.4</v>
      </c>
      <c r="L78" s="60">
        <v>0</v>
      </c>
      <c r="M78" s="60">
        <v>0</v>
      </c>
      <c r="N78" s="60">
        <v>0</v>
      </c>
      <c r="O78" s="60">
        <v>-1421.7</v>
      </c>
      <c r="P78" s="60">
        <v>-1764.2</v>
      </c>
      <c r="Q78" s="61"/>
      <c r="R78" s="61"/>
      <c r="S78" s="59" t="s">
        <v>318</v>
      </c>
      <c r="U78" s="53"/>
      <c r="V78" s="53"/>
      <c r="W78" s="53"/>
      <c r="X78" s="53"/>
      <c r="Y78" s="53"/>
      <c r="Z78" s="53"/>
      <c r="AA78" s="53"/>
      <c r="AB78" s="53"/>
      <c r="AC78" s="53"/>
      <c r="AD78" s="53"/>
      <c r="AE78" s="53"/>
      <c r="AF78" s="53"/>
      <c r="AG78" s="53"/>
    </row>
    <row r="79" spans="2:33" ht="15" customHeight="1" x14ac:dyDescent="0.25">
      <c r="B79" s="135" t="str">
        <f>HYPERLINK("https://www.pbo.gov.au/elections/2025-general-election/2025-election-commitments-costings/Build%20to%20Rent%20Tax%20Changes%20-%20reverse", "ECR-2025-2083")</f>
        <v>ECR-2025-2083</v>
      </c>
      <c r="C79" s="59" t="s">
        <v>362</v>
      </c>
      <c r="D79" s="60">
        <v>10</v>
      </c>
      <c r="E79" s="60">
        <v>20</v>
      </c>
      <c r="F79" s="60">
        <v>30</v>
      </c>
      <c r="G79" s="60">
        <v>50</v>
      </c>
      <c r="H79" s="60">
        <v>60</v>
      </c>
      <c r="I79" s="60">
        <v>70</v>
      </c>
      <c r="J79" s="60">
        <v>90</v>
      </c>
      <c r="K79" s="60">
        <v>100</v>
      </c>
      <c r="L79" s="60">
        <v>110</v>
      </c>
      <c r="M79" s="60">
        <v>140</v>
      </c>
      <c r="N79" s="60">
        <v>150</v>
      </c>
      <c r="O79" s="60">
        <v>110</v>
      </c>
      <c r="P79" s="60">
        <v>830</v>
      </c>
      <c r="Q79" s="64"/>
      <c r="R79" s="64"/>
      <c r="S79" s="59" t="s">
        <v>261</v>
      </c>
      <c r="U79" s="53"/>
      <c r="V79" s="53"/>
      <c r="W79" s="53"/>
      <c r="X79" s="53"/>
      <c r="Y79" s="53"/>
      <c r="Z79" s="53"/>
      <c r="AA79" s="53"/>
      <c r="AB79" s="53"/>
      <c r="AC79" s="53"/>
      <c r="AD79" s="53"/>
      <c r="AE79" s="53"/>
      <c r="AF79" s="53"/>
      <c r="AG79" s="53"/>
    </row>
    <row r="80" spans="2:33" ht="15" customHeight="1" x14ac:dyDescent="0.25">
      <c r="B80" s="135" t="str">
        <f>HYPERLINK("https://www.pbo.gov.au/elections/2025-general-election/2025-election-commitments-costings/building-better-regions-fund", "ECR-2025-2579")</f>
        <v>ECR-2025-2579</v>
      </c>
      <c r="C80" s="59" t="s">
        <v>166</v>
      </c>
      <c r="D80" s="60">
        <v>-125</v>
      </c>
      <c r="E80" s="60">
        <v>-125</v>
      </c>
      <c r="F80" s="60">
        <v>0</v>
      </c>
      <c r="G80" s="60">
        <v>0</v>
      </c>
      <c r="H80" s="60">
        <v>0</v>
      </c>
      <c r="I80" s="60">
        <v>0</v>
      </c>
      <c r="J80" s="60">
        <v>0</v>
      </c>
      <c r="K80" s="60">
        <v>0</v>
      </c>
      <c r="L80" s="60">
        <v>0</v>
      </c>
      <c r="M80" s="60">
        <v>0</v>
      </c>
      <c r="N80" s="60">
        <v>0</v>
      </c>
      <c r="O80" s="60">
        <v>-250</v>
      </c>
      <c r="P80" s="60">
        <v>-250</v>
      </c>
      <c r="Q80" s="64"/>
      <c r="R80" s="64"/>
      <c r="S80" s="59" t="s">
        <v>319</v>
      </c>
      <c r="U80" s="53"/>
      <c r="V80" s="53"/>
      <c r="W80" s="53"/>
      <c r="X80" s="53"/>
      <c r="Y80" s="53"/>
      <c r="Z80" s="53"/>
      <c r="AA80" s="53"/>
      <c r="AB80" s="53"/>
      <c r="AC80" s="53"/>
      <c r="AD80" s="53"/>
      <c r="AE80" s="53"/>
      <c r="AF80" s="53"/>
      <c r="AG80" s="53"/>
    </row>
    <row r="81" spans="2:33" ht="15" customHeight="1" x14ac:dyDescent="0.25">
      <c r="B81" s="135" t="str">
        <f>HYPERLINK("https://www.pbo.gov.au/elections/2025-general-election/2025-election-commitments-costings/canberra-entertainment-infrastructure-redirect", "ECR-2025-2075")</f>
        <v>ECR-2025-2075</v>
      </c>
      <c r="C81" s="59" t="s">
        <v>209</v>
      </c>
      <c r="D81" s="60">
        <v>12.6</v>
      </c>
      <c r="E81" s="60">
        <v>13</v>
      </c>
      <c r="F81" s="60">
        <v>28</v>
      </c>
      <c r="G81" s="60">
        <v>48.4</v>
      </c>
      <c r="H81" s="60">
        <v>0</v>
      </c>
      <c r="I81" s="60">
        <v>0</v>
      </c>
      <c r="J81" s="60">
        <v>0</v>
      </c>
      <c r="K81" s="60">
        <v>0</v>
      </c>
      <c r="L81" s="60">
        <v>0</v>
      </c>
      <c r="M81" s="60">
        <v>0</v>
      </c>
      <c r="N81" s="60">
        <v>0</v>
      </c>
      <c r="O81" s="60">
        <v>102</v>
      </c>
      <c r="P81" s="60">
        <v>102</v>
      </c>
      <c r="Q81" s="61"/>
      <c r="R81" s="61"/>
      <c r="S81" s="59" t="s">
        <v>261</v>
      </c>
      <c r="U81" s="53"/>
      <c r="V81" s="53"/>
      <c r="W81" s="53"/>
      <c r="X81" s="53"/>
      <c r="Y81" s="53"/>
      <c r="Z81" s="53"/>
      <c r="AA81" s="53"/>
      <c r="AB81" s="53"/>
      <c r="AC81" s="53"/>
      <c r="AD81" s="53"/>
      <c r="AE81" s="53"/>
      <c r="AF81" s="53"/>
      <c r="AG81" s="53"/>
    </row>
    <row r="82" spans="2:33" ht="15" customHeight="1" x14ac:dyDescent="0.25">
      <c r="B82" s="59" t="s">
        <v>120</v>
      </c>
      <c r="C82" s="59" t="s">
        <v>397</v>
      </c>
      <c r="D82" s="60">
        <v>0</v>
      </c>
      <c r="E82" s="60">
        <v>0</v>
      </c>
      <c r="F82" s="60">
        <v>0</v>
      </c>
      <c r="G82" s="60">
        <v>0</v>
      </c>
      <c r="H82" s="60">
        <v>0</v>
      </c>
      <c r="I82" s="60">
        <v>0</v>
      </c>
      <c r="J82" s="60">
        <v>0</v>
      </c>
      <c r="K82" s="60">
        <v>0</v>
      </c>
      <c r="L82" s="60">
        <v>0</v>
      </c>
      <c r="M82" s="60">
        <v>0</v>
      </c>
      <c r="N82" s="60">
        <v>0</v>
      </c>
      <c r="O82" s="60">
        <v>0</v>
      </c>
      <c r="P82" s="60">
        <v>0</v>
      </c>
      <c r="Q82" s="61"/>
      <c r="R82" s="61"/>
      <c r="S82" s="59" t="s">
        <v>261</v>
      </c>
      <c r="U82" s="53"/>
      <c r="V82" s="53"/>
      <c r="W82" s="53"/>
      <c r="X82" s="53"/>
      <c r="Y82" s="53"/>
      <c r="Z82" s="53"/>
      <c r="AA82" s="53"/>
      <c r="AB82" s="53"/>
      <c r="AC82" s="53"/>
      <c r="AD82" s="53"/>
      <c r="AE82" s="53"/>
      <c r="AF82" s="53"/>
      <c r="AG82" s="53"/>
    </row>
    <row r="83" spans="2:33" ht="15" customHeight="1" x14ac:dyDescent="0.25">
      <c r="B83" s="135" t="str">
        <f>HYPERLINK("https://www.pbo.gov.au/elections/2025-general-election/2025-election-commitments-costings/Establishing%2012%20new%20Australian%20Technical%20Colleges", "ECR-2025-2067")</f>
        <v>ECR-2025-2067</v>
      </c>
      <c r="C83" s="59" t="s">
        <v>424</v>
      </c>
      <c r="D83" s="60">
        <v>-125.8</v>
      </c>
      <c r="E83" s="60">
        <v>-130.19999999999999</v>
      </c>
      <c r="F83" s="60">
        <v>-2.2999999999999998</v>
      </c>
      <c r="G83" s="60">
        <v>-2.4</v>
      </c>
      <c r="H83" s="60">
        <v>-2.5</v>
      </c>
      <c r="I83" s="60">
        <v>-2.6</v>
      </c>
      <c r="J83" s="60">
        <v>-2.6</v>
      </c>
      <c r="K83" s="60">
        <v>-2.7</v>
      </c>
      <c r="L83" s="60">
        <v>-2.8</v>
      </c>
      <c r="M83" s="60">
        <v>-2.9</v>
      </c>
      <c r="N83" s="60">
        <v>-3</v>
      </c>
      <c r="O83" s="60">
        <v>-260.7</v>
      </c>
      <c r="P83" s="60">
        <v>-279.8</v>
      </c>
      <c r="Q83" s="61"/>
      <c r="R83" s="61"/>
      <c r="S83" s="59" t="s">
        <v>320</v>
      </c>
      <c r="U83" s="53"/>
      <c r="V83" s="53"/>
      <c r="W83" s="53"/>
      <c r="X83" s="53"/>
      <c r="Y83" s="53"/>
      <c r="Z83" s="53"/>
      <c r="AA83" s="53"/>
      <c r="AB83" s="53"/>
      <c r="AC83" s="53"/>
      <c r="AD83" s="53"/>
      <c r="AE83" s="53"/>
      <c r="AF83" s="53"/>
      <c r="AG83" s="53"/>
    </row>
    <row r="84" spans="2:33" ht="15" customHeight="1" x14ac:dyDescent="0.25">
      <c r="B84" s="135" t="str">
        <f>HYPERLINK("https://www.pbo.gov.au/elections/2025-general-election/2025-election-commitments-costings/Fee%20free%20TAFE%20%E2%80%93%20redirect", "ECR-2025-2120")</f>
        <v>ECR-2025-2120</v>
      </c>
      <c r="C84" s="59" t="s">
        <v>425</v>
      </c>
      <c r="D84" s="60">
        <v>0</v>
      </c>
      <c r="E84" s="60">
        <v>83</v>
      </c>
      <c r="F84" s="60">
        <v>171</v>
      </c>
      <c r="G84" s="60">
        <v>177</v>
      </c>
      <c r="H84" s="60">
        <v>183</v>
      </c>
      <c r="I84" s="60">
        <v>189</v>
      </c>
      <c r="J84" s="60">
        <v>196</v>
      </c>
      <c r="K84" s="60">
        <v>202</v>
      </c>
      <c r="L84" s="60">
        <v>209</v>
      </c>
      <c r="M84" s="60">
        <v>216</v>
      </c>
      <c r="N84" s="60">
        <v>223</v>
      </c>
      <c r="O84" s="60">
        <v>431</v>
      </c>
      <c r="P84" s="60">
        <v>1849</v>
      </c>
      <c r="Q84" s="61"/>
      <c r="R84" s="61"/>
      <c r="S84" s="59" t="s">
        <v>261</v>
      </c>
      <c r="U84" s="53"/>
      <c r="V84" s="53"/>
      <c r="W84" s="53"/>
      <c r="X84" s="53"/>
      <c r="Y84" s="53"/>
      <c r="Z84" s="53"/>
      <c r="AA84" s="53"/>
      <c r="AB84" s="53"/>
      <c r="AC84" s="53"/>
      <c r="AD84" s="53"/>
      <c r="AE84" s="53"/>
      <c r="AF84" s="53"/>
      <c r="AG84" s="53"/>
    </row>
    <row r="85" spans="2:33" ht="15" customHeight="1" x14ac:dyDescent="0.25">
      <c r="B85" s="135" t="str">
        <f>HYPERLINK("https://www.pbo.gov.au/elections/2025-general-election/2025-election-commitments-costings/First%20Home%20Buyer%20Mortgage%20Tax%20Deductibility%20Scheme", "ECR-2025-2072")</f>
        <v>ECR-2025-2072</v>
      </c>
      <c r="C85" s="59" t="s">
        <v>253</v>
      </c>
      <c r="D85" s="60">
        <v>-7.3</v>
      </c>
      <c r="E85" s="60">
        <v>-195.9</v>
      </c>
      <c r="F85" s="60">
        <v>-595.4</v>
      </c>
      <c r="G85" s="60">
        <v>-973.2</v>
      </c>
      <c r="H85" s="60">
        <v>-1213.3</v>
      </c>
      <c r="I85" s="60">
        <v>-1433.3</v>
      </c>
      <c r="J85" s="60">
        <v>-1633.3</v>
      </c>
      <c r="K85" s="60">
        <v>-1723.4</v>
      </c>
      <c r="L85" s="60">
        <v>-1813.4</v>
      </c>
      <c r="M85" s="60">
        <v>-1893.5</v>
      </c>
      <c r="N85" s="60">
        <v>-1933.5</v>
      </c>
      <c r="O85" s="60">
        <v>-1771.8</v>
      </c>
      <c r="P85" s="60">
        <v>-13415.5</v>
      </c>
      <c r="Q85" s="64"/>
      <c r="R85" s="64"/>
      <c r="S85" s="59" t="s">
        <v>321</v>
      </c>
      <c r="U85" s="53"/>
      <c r="V85" s="53"/>
      <c r="W85" s="53"/>
      <c r="X85" s="53"/>
      <c r="Y85" s="53"/>
      <c r="Z85" s="53"/>
      <c r="AA85" s="53"/>
      <c r="AB85" s="53"/>
      <c r="AC85" s="53"/>
      <c r="AD85" s="53"/>
      <c r="AE85" s="53"/>
      <c r="AF85" s="53"/>
      <c r="AG85" s="53"/>
    </row>
    <row r="86" spans="2:33" ht="15" customHeight="1" x14ac:dyDescent="0.25">
      <c r="B86" s="135" t="str">
        <f>HYPERLINK("https://www.pbo.gov.au/elections/2025-general-election/2025-election-commitments-costings/help-buy-scheme-reverse", "ECR-2025-2213")</f>
        <v>ECR-2025-2213</v>
      </c>
      <c r="C86" s="59" t="s">
        <v>242</v>
      </c>
      <c r="D86" s="60">
        <v>27</v>
      </c>
      <c r="E86" s="60">
        <v>83.1</v>
      </c>
      <c r="F86" s="60">
        <v>156.19999999999999</v>
      </c>
      <c r="G86" s="60">
        <v>232.4</v>
      </c>
      <c r="H86" s="60">
        <v>291.5</v>
      </c>
      <c r="I86" s="60">
        <v>318.60000000000002</v>
      </c>
      <c r="J86" s="60">
        <v>334.7</v>
      </c>
      <c r="K86" s="60">
        <v>349.9</v>
      </c>
      <c r="L86" s="60">
        <v>362</v>
      </c>
      <c r="M86" s="60">
        <v>370.1</v>
      </c>
      <c r="N86" s="60">
        <v>378.3</v>
      </c>
      <c r="O86" s="60">
        <v>498.7</v>
      </c>
      <c r="P86" s="60">
        <v>2903.8</v>
      </c>
      <c r="Q86" s="64"/>
      <c r="R86" s="64"/>
      <c r="S86" s="59" t="s">
        <v>261</v>
      </c>
      <c r="U86" s="53"/>
      <c r="V86" s="53"/>
      <c r="W86" s="53"/>
      <c r="X86" s="53"/>
      <c r="Y86" s="53"/>
      <c r="Z86" s="53"/>
      <c r="AA86" s="53"/>
      <c r="AB86" s="53"/>
      <c r="AC86" s="53"/>
      <c r="AD86" s="53"/>
      <c r="AE86" s="53"/>
      <c r="AF86" s="53"/>
      <c r="AG86" s="53"/>
    </row>
    <row r="87" spans="2:33" ht="15" customHeight="1" x14ac:dyDescent="0.25">
      <c r="B87" s="135" t="str">
        <f>HYPERLINK("https://www.pbo.gov.au/elections/2025-general-election/2025-election-commitments-costings/home-guarantee-scheme-expanding-access", "ECR-2025-2109")</f>
        <v>ECR-2025-2109</v>
      </c>
      <c r="C87" s="59" t="s">
        <v>206</v>
      </c>
      <c r="D87" s="60">
        <v>0</v>
      </c>
      <c r="E87" s="60">
        <v>-0.1</v>
      </c>
      <c r="F87" s="60">
        <v>-2.2000000000000002</v>
      </c>
      <c r="G87" s="60">
        <v>-8.5</v>
      </c>
      <c r="H87" s="60">
        <v>-16.399999999999999</v>
      </c>
      <c r="I87" s="60">
        <v>-19.7</v>
      </c>
      <c r="J87" s="60">
        <v>-20.7</v>
      </c>
      <c r="K87" s="60">
        <v>-22.8</v>
      </c>
      <c r="L87" s="60">
        <v>-25</v>
      </c>
      <c r="M87" s="60">
        <v>-26.1</v>
      </c>
      <c r="N87" s="60">
        <v>-26.3</v>
      </c>
      <c r="O87" s="60">
        <v>-10.8</v>
      </c>
      <c r="P87" s="60">
        <v>-167.8</v>
      </c>
      <c r="Q87" s="61"/>
      <c r="R87" s="61"/>
      <c r="S87" s="59" t="s">
        <v>261</v>
      </c>
      <c r="U87" s="53"/>
      <c r="V87" s="53"/>
      <c r="W87" s="53"/>
      <c r="X87" s="53"/>
      <c r="Y87" s="53"/>
      <c r="Z87" s="53"/>
      <c r="AA87" s="53"/>
      <c r="AB87" s="53"/>
      <c r="AC87" s="53"/>
      <c r="AD87" s="53"/>
      <c r="AE87" s="53"/>
      <c r="AF87" s="53"/>
      <c r="AG87" s="53"/>
    </row>
    <row r="88" spans="2:33" ht="15" customHeight="1" x14ac:dyDescent="0.25">
      <c r="B88" s="135" t="str">
        <f>HYPERLINK("https://www.pbo.gov.au/elections/2025-general-election/2025-election-commitments-costings/housing-australia-future-fund-unwind", "ECR-2025-2184")</f>
        <v>ECR-2025-2184</v>
      </c>
      <c r="C88" s="59" t="s">
        <v>168</v>
      </c>
      <c r="D88" s="60">
        <v>460.9</v>
      </c>
      <c r="E88" s="60">
        <v>648.1</v>
      </c>
      <c r="F88" s="60">
        <v>678.1</v>
      </c>
      <c r="G88" s="60">
        <v>703.2</v>
      </c>
      <c r="H88" s="60">
        <v>746.2</v>
      </c>
      <c r="I88" s="60">
        <v>792.2</v>
      </c>
      <c r="J88" s="60">
        <v>841.2</v>
      </c>
      <c r="K88" s="60">
        <v>895.1</v>
      </c>
      <c r="L88" s="60">
        <v>951</v>
      </c>
      <c r="M88" s="60">
        <v>1010.8</v>
      </c>
      <c r="N88" s="60">
        <v>1085.5</v>
      </c>
      <c r="O88" s="60">
        <v>2490.3000000000002</v>
      </c>
      <c r="P88" s="60">
        <v>8812.2999999999993</v>
      </c>
      <c r="Q88" s="61"/>
      <c r="R88" s="61"/>
      <c r="S88" s="59" t="s">
        <v>322</v>
      </c>
      <c r="U88" s="53"/>
      <c r="V88" s="53"/>
      <c r="W88" s="53"/>
      <c r="X88" s="53"/>
      <c r="Y88" s="53"/>
      <c r="Z88" s="53"/>
      <c r="AA88" s="53"/>
      <c r="AB88" s="53"/>
      <c r="AC88" s="53"/>
      <c r="AD88" s="53"/>
      <c r="AE88" s="53"/>
      <c r="AF88" s="53"/>
      <c r="AG88" s="53"/>
    </row>
    <row r="89" spans="2:33" ht="15" customHeight="1" x14ac:dyDescent="0.25">
      <c r="B89" s="135" t="str">
        <f>HYPERLINK("https://www.pbo.gov.au/elections/2025-general-election/2025-election-commitments-costings/housing-infrastructure-program", "ECR-2025-2862")</f>
        <v>ECR-2025-2862</v>
      </c>
      <c r="C89" s="59" t="s">
        <v>212</v>
      </c>
      <c r="D89" s="60">
        <v>-353.7</v>
      </c>
      <c r="E89" s="60">
        <v>-698.6</v>
      </c>
      <c r="F89" s="60">
        <v>-719.2</v>
      </c>
      <c r="G89" s="60">
        <v>-746.6</v>
      </c>
      <c r="H89" s="60">
        <v>-431.9</v>
      </c>
      <c r="I89" s="60">
        <v>-110.5</v>
      </c>
      <c r="J89" s="60">
        <v>-123.3</v>
      </c>
      <c r="K89" s="60">
        <v>-131.19999999999999</v>
      </c>
      <c r="L89" s="60">
        <v>-138</v>
      </c>
      <c r="M89" s="60">
        <v>-146.1</v>
      </c>
      <c r="N89" s="60">
        <v>-154</v>
      </c>
      <c r="O89" s="60">
        <v>-2518.1</v>
      </c>
      <c r="P89" s="60">
        <v>-3753.1</v>
      </c>
      <c r="Q89" s="61"/>
      <c r="R89" s="61"/>
      <c r="S89" s="59" t="s">
        <v>323</v>
      </c>
      <c r="U89" s="53"/>
      <c r="V89" s="53"/>
      <c r="W89" s="53"/>
      <c r="X89" s="53"/>
      <c r="Y89" s="53"/>
      <c r="Z89" s="53"/>
      <c r="AA89" s="53"/>
      <c r="AB89" s="53"/>
      <c r="AC89" s="53"/>
      <c r="AD89" s="53"/>
      <c r="AE89" s="53"/>
      <c r="AF89" s="53"/>
      <c r="AG89" s="53"/>
    </row>
    <row r="90" spans="2:33" ht="15" customHeight="1" x14ac:dyDescent="0.25">
      <c r="B90" s="135" t="str">
        <f>HYPERLINK("https://www.pbo.gov.au/elections/2025-general-election/2025-election-commitments-costings/Increase%20selected%20non-student%20visa%20charges", "ECR-2025-2242")</f>
        <v>ECR-2025-2242</v>
      </c>
      <c r="C90" s="59" t="s">
        <v>363</v>
      </c>
      <c r="D90" s="60">
        <v>109</v>
      </c>
      <c r="E90" s="60">
        <v>118</v>
      </c>
      <c r="F90" s="60">
        <v>127</v>
      </c>
      <c r="G90" s="60">
        <v>130</v>
      </c>
      <c r="H90" s="60">
        <v>133</v>
      </c>
      <c r="I90" s="60">
        <v>137</v>
      </c>
      <c r="J90" s="60">
        <v>140</v>
      </c>
      <c r="K90" s="60">
        <v>144</v>
      </c>
      <c r="L90" s="60">
        <v>147</v>
      </c>
      <c r="M90" s="60">
        <v>151</v>
      </c>
      <c r="N90" s="60">
        <v>154</v>
      </c>
      <c r="O90" s="60">
        <v>484</v>
      </c>
      <c r="P90" s="60">
        <v>1490</v>
      </c>
      <c r="Q90" s="61"/>
      <c r="R90" s="61"/>
      <c r="S90" s="59" t="s">
        <v>261</v>
      </c>
      <c r="U90" s="53"/>
      <c r="V90" s="53"/>
      <c r="W90" s="53"/>
      <c r="X90" s="53"/>
      <c r="Y90" s="53"/>
      <c r="Z90" s="53"/>
      <c r="AA90" s="53"/>
      <c r="AB90" s="53"/>
      <c r="AC90" s="53"/>
      <c r="AD90" s="53"/>
      <c r="AE90" s="53"/>
      <c r="AF90" s="53"/>
      <c r="AG90" s="53"/>
    </row>
    <row r="91" spans="2:33" ht="15" customHeight="1" x14ac:dyDescent="0.25">
      <c r="B91" s="135" t="str">
        <f>HYPERLINK("https://www.pbo.gov.au/elections/2025-general-election/2025-election-commitments-costings/Local-Roads-and-Community-Infrastructure-Program", "ECR-2025-2453")</f>
        <v>ECR-2025-2453</v>
      </c>
      <c r="C91" s="59" t="s">
        <v>241</v>
      </c>
      <c r="D91" s="60">
        <v>-400</v>
      </c>
      <c r="E91" s="60">
        <v>-400</v>
      </c>
      <c r="F91" s="60">
        <v>-200</v>
      </c>
      <c r="G91" s="60">
        <v>0</v>
      </c>
      <c r="H91" s="60">
        <v>0</v>
      </c>
      <c r="I91" s="60">
        <v>0</v>
      </c>
      <c r="J91" s="60">
        <v>0</v>
      </c>
      <c r="K91" s="60">
        <v>0</v>
      </c>
      <c r="L91" s="60">
        <v>0</v>
      </c>
      <c r="M91" s="60">
        <v>0</v>
      </c>
      <c r="N91" s="60">
        <v>0</v>
      </c>
      <c r="O91" s="60">
        <v>-1000</v>
      </c>
      <c r="P91" s="60">
        <v>-1000</v>
      </c>
      <c r="Q91" s="61"/>
      <c r="R91" s="61"/>
      <c r="S91" s="59" t="s">
        <v>324</v>
      </c>
      <c r="U91" s="53"/>
      <c r="V91" s="53"/>
      <c r="W91" s="53"/>
      <c r="X91" s="53"/>
      <c r="Y91" s="53"/>
      <c r="Z91" s="53"/>
      <c r="AA91" s="53"/>
      <c r="AB91" s="53"/>
      <c r="AC91" s="53"/>
      <c r="AD91" s="53"/>
      <c r="AE91" s="53"/>
      <c r="AF91" s="53"/>
      <c r="AG91" s="53"/>
    </row>
    <row r="92" spans="2:33" ht="15" customHeight="1" x14ac:dyDescent="0.25">
      <c r="B92" s="135" t="str">
        <f>HYPERLINK("https://www.pbo.gov.au/elections/2025-general-election/2025-election-commitments-costings/Modify%20Commonwealth%20Prac%20Payments", "ECR-2025-2599")</f>
        <v>ECR-2025-2599</v>
      </c>
      <c r="C92" s="59" t="s">
        <v>364</v>
      </c>
      <c r="D92" s="60">
        <v>113</v>
      </c>
      <c r="E92" s="60">
        <v>133.1</v>
      </c>
      <c r="F92" s="60">
        <v>153.19999999999999</v>
      </c>
      <c r="G92" s="60">
        <v>157.30000000000001</v>
      </c>
      <c r="H92" s="60">
        <v>161.4</v>
      </c>
      <c r="I92" s="60">
        <v>165.5</v>
      </c>
      <c r="J92" s="60">
        <v>169.7</v>
      </c>
      <c r="K92" s="60">
        <v>173.8</v>
      </c>
      <c r="L92" s="60">
        <v>178</v>
      </c>
      <c r="M92" s="60">
        <v>183.1</v>
      </c>
      <c r="N92" s="60">
        <v>187.3</v>
      </c>
      <c r="O92" s="60">
        <v>556.6</v>
      </c>
      <c r="P92" s="60">
        <v>1775.4</v>
      </c>
      <c r="Q92" s="61"/>
      <c r="R92" s="61"/>
      <c r="S92" s="59" t="s">
        <v>261</v>
      </c>
      <c r="U92" s="53"/>
      <c r="V92" s="53"/>
      <c r="W92" s="53"/>
      <c r="X92" s="53"/>
      <c r="Y92" s="53"/>
      <c r="Z92" s="53"/>
      <c r="AA92" s="53"/>
      <c r="AB92" s="53"/>
      <c r="AC92" s="53"/>
      <c r="AD92" s="53"/>
      <c r="AE92" s="53"/>
      <c r="AF92" s="53"/>
      <c r="AG92" s="53"/>
    </row>
    <row r="93" spans="2:33" ht="15" customHeight="1" x14ac:dyDescent="0.25">
      <c r="B93" s="135" t="str">
        <f>HYPERLINK("https://www.pbo.gov.au/elections/2025-general-election/2025-election-commitments-costings/New%20Homes%20Bonus%20-%20reverse", "ECR-2025-2494")</f>
        <v>ECR-2025-2494</v>
      </c>
      <c r="C93" s="59" t="s">
        <v>165</v>
      </c>
      <c r="D93" s="60">
        <v>0</v>
      </c>
      <c r="E93" s="60">
        <v>0</v>
      </c>
      <c r="F93" s="60">
        <v>0</v>
      </c>
      <c r="G93" s="60">
        <v>0</v>
      </c>
      <c r="H93" s="60">
        <v>3000</v>
      </c>
      <c r="I93" s="60">
        <v>0</v>
      </c>
      <c r="J93" s="60">
        <v>0</v>
      </c>
      <c r="K93" s="60">
        <v>0</v>
      </c>
      <c r="L93" s="60">
        <v>0</v>
      </c>
      <c r="M93" s="60">
        <v>0</v>
      </c>
      <c r="N93" s="60">
        <v>0</v>
      </c>
      <c r="O93" s="60">
        <v>0</v>
      </c>
      <c r="P93" s="60">
        <v>3000</v>
      </c>
      <c r="Q93" s="61"/>
      <c r="R93" s="61"/>
      <c r="S93" s="59" t="s">
        <v>261</v>
      </c>
      <c r="U93" s="53"/>
      <c r="V93" s="53"/>
      <c r="W93" s="53"/>
      <c r="X93" s="53"/>
      <c r="Y93" s="53"/>
      <c r="Z93" s="53"/>
      <c r="AA93" s="53"/>
      <c r="AB93" s="53"/>
      <c r="AC93" s="53"/>
      <c r="AD93" s="53"/>
      <c r="AE93" s="53"/>
      <c r="AF93" s="53"/>
      <c r="AG93" s="53"/>
    </row>
    <row r="94" spans="2:33" ht="15" customHeight="1" x14ac:dyDescent="0.25">
      <c r="B94" s="135" t="str">
        <f>HYPERLINK("https://www.pbo.gov.au/elections/2025-general-election/2025-election-commitments-costings/new-overseas-student-commencements-reduction", "ECR-2025-2280")</f>
        <v>ECR-2025-2280</v>
      </c>
      <c r="C94" s="59" t="s">
        <v>365</v>
      </c>
      <c r="D94" s="60">
        <v>-27</v>
      </c>
      <c r="E94" s="60">
        <v>-97</v>
      </c>
      <c r="F94" s="60">
        <v>-152</v>
      </c>
      <c r="G94" s="60">
        <v>-167</v>
      </c>
      <c r="H94" s="60">
        <v>-180</v>
      </c>
      <c r="I94" s="60">
        <v>-193</v>
      </c>
      <c r="J94" s="60">
        <v>-206</v>
      </c>
      <c r="K94" s="60">
        <v>-220</v>
      </c>
      <c r="L94" s="60">
        <v>-235</v>
      </c>
      <c r="M94" s="60">
        <v>-251</v>
      </c>
      <c r="N94" s="60">
        <v>-268</v>
      </c>
      <c r="O94" s="60">
        <v>-443</v>
      </c>
      <c r="P94" s="60">
        <v>-1996</v>
      </c>
      <c r="Q94" s="61"/>
      <c r="R94" s="61"/>
      <c r="S94" s="59" t="s">
        <v>368</v>
      </c>
      <c r="U94" s="53"/>
      <c r="V94" s="53"/>
      <c r="W94" s="53"/>
      <c r="X94" s="53"/>
      <c r="Y94" s="53"/>
      <c r="Z94" s="53"/>
      <c r="AA94" s="53"/>
      <c r="AB94" s="53"/>
      <c r="AC94" s="53"/>
      <c r="AD94" s="53"/>
      <c r="AE94" s="53"/>
      <c r="AF94" s="53"/>
      <c r="AG94" s="53"/>
    </row>
    <row r="95" spans="2:33" ht="15" customHeight="1" x14ac:dyDescent="0.25">
      <c r="B95" s="135" t="str">
        <f>HYPERLINK("https://www.pbo.gov.au/elections/2025-general-election/2025-election-commitments-costings/Newly%20arrived%20migrant%20waiting%20period%20%E2%80%93%20rationalise%20to%205%20years", "ECR-2025-2126")</f>
        <v>ECR-2025-2126</v>
      </c>
      <c r="C95" s="59" t="s">
        <v>240</v>
      </c>
      <c r="D95" s="60">
        <v>39.4</v>
      </c>
      <c r="E95" s="60">
        <v>275.8</v>
      </c>
      <c r="F95" s="60">
        <v>712.7</v>
      </c>
      <c r="G95" s="60">
        <v>1294.0999999999999</v>
      </c>
      <c r="H95" s="60">
        <v>1862.1</v>
      </c>
      <c r="I95" s="60">
        <v>2093.6999999999998</v>
      </c>
      <c r="J95" s="60">
        <v>2030.2</v>
      </c>
      <c r="K95" s="60">
        <v>1935.7</v>
      </c>
      <c r="L95" s="60">
        <v>1756.9</v>
      </c>
      <c r="M95" s="60">
        <v>1830.6</v>
      </c>
      <c r="N95" s="60">
        <v>1870.1</v>
      </c>
      <c r="O95" s="60">
        <v>2322</v>
      </c>
      <c r="P95" s="60">
        <v>15701.3</v>
      </c>
      <c r="Q95" s="61"/>
      <c r="R95" s="61"/>
      <c r="S95" s="59" t="s">
        <v>261</v>
      </c>
      <c r="U95" s="53"/>
      <c r="V95" s="53"/>
      <c r="W95" s="53"/>
      <c r="X95" s="53"/>
      <c r="Y95" s="53"/>
      <c r="Z95" s="53"/>
      <c r="AA95" s="53"/>
      <c r="AB95" s="53"/>
      <c r="AC95" s="53"/>
      <c r="AD95" s="53"/>
      <c r="AE95" s="53"/>
      <c r="AF95" s="53"/>
      <c r="AG95" s="53"/>
    </row>
    <row r="96" spans="2:33" ht="15" customHeight="1" x14ac:dyDescent="0.25">
      <c r="B96" s="135" t="str">
        <f>HYPERLINK("https://www.pbo.gov.au/elections/2025-general-election/2025-election-commitments-costings/Permanent-migration-program-reduction", "ECR-2025-2038")</f>
        <v>ECR-2025-2038</v>
      </c>
      <c r="C96" s="59" t="s">
        <v>366</v>
      </c>
      <c r="D96" s="60">
        <v>-309</v>
      </c>
      <c r="E96" s="60">
        <v>-625</v>
      </c>
      <c r="F96" s="60">
        <v>-1040</v>
      </c>
      <c r="G96" s="60">
        <v>-1412</v>
      </c>
      <c r="H96" s="60">
        <v>-1725</v>
      </c>
      <c r="I96" s="60">
        <v>-2048</v>
      </c>
      <c r="J96" s="60">
        <v>-2392</v>
      </c>
      <c r="K96" s="60">
        <v>-2785</v>
      </c>
      <c r="L96" s="60">
        <v>-3229</v>
      </c>
      <c r="M96" s="60">
        <v>-3703</v>
      </c>
      <c r="N96" s="60">
        <v>-4306</v>
      </c>
      <c r="O96" s="60">
        <v>-3386</v>
      </c>
      <c r="P96" s="60">
        <v>-23574</v>
      </c>
      <c r="Q96" s="61"/>
      <c r="R96" s="61"/>
      <c r="S96" s="59" t="s">
        <v>369</v>
      </c>
      <c r="U96" s="53"/>
      <c r="V96" s="53"/>
      <c r="W96" s="53"/>
      <c r="X96" s="53"/>
      <c r="Y96" s="53"/>
      <c r="Z96" s="53"/>
      <c r="AA96" s="53"/>
      <c r="AB96" s="53"/>
      <c r="AC96" s="53"/>
      <c r="AD96" s="53"/>
      <c r="AE96" s="53"/>
      <c r="AF96" s="53"/>
      <c r="AG96" s="53"/>
    </row>
    <row r="97" spans="2:37" ht="15" customHeight="1" x14ac:dyDescent="0.25">
      <c r="B97" s="135" t="str">
        <f>HYPERLINK("https://www.pbo.gov.au/elections/2025-general-election/2025-election-commitments-costings/Queensland%20Beef%20Corridors", "ECR-2025-2490")</f>
        <v>ECR-2025-2490</v>
      </c>
      <c r="C97" s="59" t="s">
        <v>254</v>
      </c>
      <c r="D97" s="60">
        <v>-50</v>
      </c>
      <c r="E97" s="60">
        <v>-16.7</v>
      </c>
      <c r="F97" s="60">
        <v>-16.7</v>
      </c>
      <c r="G97" s="60">
        <v>-16.7</v>
      </c>
      <c r="H97" s="60">
        <v>-80</v>
      </c>
      <c r="I97" s="60">
        <v>67.2</v>
      </c>
      <c r="J97" s="60">
        <v>60</v>
      </c>
      <c r="K97" s="60">
        <v>52.9</v>
      </c>
      <c r="L97" s="60">
        <v>0</v>
      </c>
      <c r="M97" s="60">
        <v>0</v>
      </c>
      <c r="N97" s="60">
        <v>0</v>
      </c>
      <c r="O97" s="60">
        <v>-100.1</v>
      </c>
      <c r="P97" s="60">
        <v>0</v>
      </c>
      <c r="Q97" s="61"/>
      <c r="R97" s="61"/>
      <c r="S97" s="59" t="s">
        <v>325</v>
      </c>
      <c r="U97" s="53"/>
      <c r="V97" s="53"/>
      <c r="W97" s="53"/>
      <c r="X97" s="53"/>
      <c r="Y97" s="53"/>
      <c r="Z97" s="53"/>
      <c r="AA97" s="53"/>
      <c r="AB97" s="53"/>
      <c r="AC97" s="53"/>
      <c r="AD97" s="53"/>
      <c r="AE97" s="53"/>
      <c r="AF97" s="53"/>
      <c r="AG97" s="53"/>
    </row>
    <row r="98" spans="2:37" ht="15" customHeight="1" x14ac:dyDescent="0.25">
      <c r="B98" s="135" t="str">
        <f>HYPERLINK("https://www.pbo.gov.au/elections/2025-general-election/2025-election-commitments-costings/rail-projects-increase-and-rephase", "ECR-2025-2257")</f>
        <v>ECR-2025-2257</v>
      </c>
      <c r="C98" s="59" t="s">
        <v>239</v>
      </c>
      <c r="D98" s="60">
        <v>364</v>
      </c>
      <c r="E98" s="60">
        <v>651.20000000000005</v>
      </c>
      <c r="F98" s="60">
        <v>850</v>
      </c>
      <c r="G98" s="60">
        <v>516.20000000000005</v>
      </c>
      <c r="H98" s="60">
        <v>295</v>
      </c>
      <c r="I98" s="60">
        <v>-1315</v>
      </c>
      <c r="J98" s="60">
        <v>-665</v>
      </c>
      <c r="K98" s="60">
        <v>-353.6</v>
      </c>
      <c r="L98" s="60">
        <v>-50</v>
      </c>
      <c r="M98" s="60">
        <v>-936.4</v>
      </c>
      <c r="N98" s="60">
        <v>0</v>
      </c>
      <c r="O98" s="60">
        <v>2381.4</v>
      </c>
      <c r="P98" s="60">
        <v>-643.6</v>
      </c>
      <c r="Q98" s="61"/>
      <c r="R98" s="61"/>
      <c r="S98" s="59" t="s">
        <v>261</v>
      </c>
      <c r="U98" s="53"/>
      <c r="V98" s="53"/>
      <c r="W98" s="53"/>
      <c r="X98" s="53"/>
      <c r="Y98" s="53"/>
      <c r="Z98" s="53"/>
      <c r="AA98" s="53"/>
      <c r="AB98" s="53"/>
      <c r="AC98" s="53"/>
      <c r="AD98" s="53"/>
      <c r="AE98" s="53"/>
      <c r="AF98" s="53"/>
      <c r="AG98" s="53"/>
    </row>
    <row r="99" spans="2:37" ht="15" customHeight="1" x14ac:dyDescent="0.25">
      <c r="B99" s="135" t="str">
        <f>HYPERLINK("https://www.pbo.gov.au/elections/2025-general-election/2025-election-commitments-costings/Regional%20Airports%20Program", "ECR-2025-2470")</f>
        <v>ECR-2025-2470</v>
      </c>
      <c r="C99" s="59" t="s">
        <v>211</v>
      </c>
      <c r="D99" s="60">
        <v>-10.199999999999999</v>
      </c>
      <c r="E99" s="60">
        <v>-35</v>
      </c>
      <c r="F99" s="60">
        <v>-43.5</v>
      </c>
      <c r="G99" s="60">
        <v>-44.5</v>
      </c>
      <c r="H99" s="60">
        <v>0</v>
      </c>
      <c r="I99" s="60">
        <v>0</v>
      </c>
      <c r="J99" s="60">
        <v>0</v>
      </c>
      <c r="K99" s="60">
        <v>0</v>
      </c>
      <c r="L99" s="60">
        <v>0</v>
      </c>
      <c r="M99" s="60">
        <v>0</v>
      </c>
      <c r="N99" s="60">
        <v>0</v>
      </c>
      <c r="O99" s="60">
        <v>-133.19999999999999</v>
      </c>
      <c r="P99" s="60">
        <v>-133.19999999999999</v>
      </c>
      <c r="Q99" s="61"/>
      <c r="R99" s="61"/>
      <c r="S99" s="59" t="s">
        <v>326</v>
      </c>
      <c r="U99" s="53"/>
      <c r="V99" s="53"/>
      <c r="W99" s="53"/>
      <c r="X99" s="53"/>
      <c r="Y99" s="53"/>
      <c r="Z99" s="53"/>
      <c r="AA99" s="53"/>
      <c r="AB99" s="53"/>
      <c r="AC99" s="53"/>
      <c r="AD99" s="53"/>
      <c r="AE99" s="53"/>
      <c r="AF99" s="53"/>
      <c r="AG99" s="53"/>
    </row>
    <row r="100" spans="2:37" ht="15" customHeight="1" x14ac:dyDescent="0.25">
      <c r="B100" s="135" t="str">
        <f>HYPERLINK("https://www.pbo.gov.au/elections/2025-general-election/2025-election-commitments-costings/Restore%20humanitarian%20program%20intake%20to%20long%20term%20average", "ECR-2025-2586")</f>
        <v>ECR-2025-2586</v>
      </c>
      <c r="C100" s="59" t="s">
        <v>208</v>
      </c>
      <c r="D100" s="60">
        <v>96.6</v>
      </c>
      <c r="E100" s="60">
        <v>312.89999999999998</v>
      </c>
      <c r="F100" s="60">
        <v>433.5</v>
      </c>
      <c r="G100" s="60">
        <v>541.20000000000005</v>
      </c>
      <c r="H100" s="60">
        <v>636.1</v>
      </c>
      <c r="I100" s="60">
        <v>719.1</v>
      </c>
      <c r="J100" s="60">
        <v>798.1</v>
      </c>
      <c r="K100" s="60">
        <v>865.2</v>
      </c>
      <c r="L100" s="60">
        <v>963.4</v>
      </c>
      <c r="M100" s="60">
        <v>1028.7</v>
      </c>
      <c r="N100" s="60">
        <v>1094.0999999999999</v>
      </c>
      <c r="O100" s="60">
        <v>1384.2</v>
      </c>
      <c r="P100" s="60">
        <v>7488.9</v>
      </c>
      <c r="Q100" s="61"/>
      <c r="R100" s="61"/>
      <c r="S100" s="59" t="s">
        <v>327</v>
      </c>
      <c r="U100" s="53"/>
      <c r="V100" s="53"/>
      <c r="W100" s="53"/>
      <c r="X100" s="53"/>
      <c r="Y100" s="53"/>
      <c r="Z100" s="53"/>
      <c r="AA100" s="53"/>
      <c r="AB100" s="53"/>
      <c r="AC100" s="53"/>
      <c r="AD100" s="53"/>
      <c r="AE100" s="53"/>
      <c r="AF100" s="53"/>
      <c r="AG100" s="53"/>
    </row>
    <row r="101" spans="2:37" ht="15" customHeight="1" x14ac:dyDescent="0.25">
      <c r="B101" s="135" t="str">
        <f>HYPERLINK("https://www.pbo.gov.au/elections/2025-general-election/2025-election-commitments-costings/restoring-australian-building-and-construction-commission", "ECR-2025-2246")</f>
        <v>ECR-2025-2246</v>
      </c>
      <c r="C101" s="59" t="s">
        <v>207</v>
      </c>
      <c r="D101" s="60">
        <v>-35.799999999999997</v>
      </c>
      <c r="E101" s="60">
        <v>-20.9</v>
      </c>
      <c r="F101" s="60">
        <v>-21.2</v>
      </c>
      <c r="G101" s="60">
        <v>-21.4</v>
      </c>
      <c r="H101" s="60">
        <v>-21.7</v>
      </c>
      <c r="I101" s="60">
        <v>-21.9</v>
      </c>
      <c r="J101" s="60">
        <v>-22.2</v>
      </c>
      <c r="K101" s="60">
        <v>-22.5</v>
      </c>
      <c r="L101" s="60">
        <v>-22.8</v>
      </c>
      <c r="M101" s="60">
        <v>-23</v>
      </c>
      <c r="N101" s="60">
        <v>-23.4</v>
      </c>
      <c r="O101" s="60">
        <v>-99.3</v>
      </c>
      <c r="P101" s="60">
        <v>-256.8</v>
      </c>
      <c r="Q101" s="61"/>
      <c r="R101" s="61"/>
      <c r="S101" s="59" t="s">
        <v>328</v>
      </c>
      <c r="U101" s="53"/>
      <c r="V101" s="53"/>
      <c r="W101" s="53"/>
      <c r="X101" s="53"/>
      <c r="Y101" s="53"/>
      <c r="Z101" s="53"/>
      <c r="AA101" s="53"/>
      <c r="AB101" s="53"/>
      <c r="AC101" s="53"/>
      <c r="AD101" s="53"/>
      <c r="AE101" s="53"/>
      <c r="AF101" s="53"/>
      <c r="AG101" s="53"/>
    </row>
    <row r="102" spans="2:37" ht="15" customHeight="1" x14ac:dyDescent="0.25">
      <c r="B102" s="135" t="str">
        <f>HYPERLINK("https://www.pbo.gov.au/elections/2025-general-election/2025-election-commitments-costings/roads-recovery-additional-investment", "ECR-2025-2576")</f>
        <v>ECR-2025-2576</v>
      </c>
      <c r="C102" s="59" t="s">
        <v>195</v>
      </c>
      <c r="D102" s="60">
        <v>-200</v>
      </c>
      <c r="E102" s="60">
        <v>-50</v>
      </c>
      <c r="F102" s="60">
        <v>0</v>
      </c>
      <c r="G102" s="60">
        <v>0</v>
      </c>
      <c r="H102" s="60">
        <v>0</v>
      </c>
      <c r="I102" s="60">
        <v>0</v>
      </c>
      <c r="J102" s="60">
        <v>0</v>
      </c>
      <c r="K102" s="60">
        <v>0</v>
      </c>
      <c r="L102" s="60">
        <v>0</v>
      </c>
      <c r="M102" s="60">
        <v>0</v>
      </c>
      <c r="N102" s="60">
        <v>0</v>
      </c>
      <c r="O102" s="60">
        <v>-250</v>
      </c>
      <c r="P102" s="60">
        <v>-250</v>
      </c>
      <c r="Q102" s="61"/>
      <c r="R102" s="61"/>
      <c r="S102" s="59" t="s">
        <v>261</v>
      </c>
      <c r="U102" s="53"/>
      <c r="V102" s="53"/>
      <c r="W102" s="53"/>
      <c r="X102" s="53"/>
      <c r="Y102" s="53"/>
      <c r="Z102" s="53"/>
      <c r="AA102" s="53"/>
      <c r="AB102" s="53"/>
      <c r="AC102" s="53"/>
      <c r="AD102" s="53"/>
      <c r="AE102" s="53"/>
      <c r="AF102" s="53"/>
      <c r="AG102" s="53"/>
    </row>
    <row r="103" spans="2:37" ht="15" customHeight="1" x14ac:dyDescent="0.25">
      <c r="B103" s="135" t="str">
        <f>HYPERLINK("https://www.pbo.gov.au/elections/2025-general-election/2025-election-commitments-costings/Safer%20Local%20Roads%20and%20Infrastructure%20Program%20%E2%80%93%20redirect", "ECR-2025-2512")</f>
        <v>ECR-2025-2512</v>
      </c>
      <c r="C103" s="59" t="s">
        <v>167</v>
      </c>
      <c r="D103" s="60">
        <v>200</v>
      </c>
      <c r="E103" s="60">
        <v>200</v>
      </c>
      <c r="F103" s="60">
        <v>205</v>
      </c>
      <c r="G103" s="60">
        <v>200</v>
      </c>
      <c r="H103" s="60">
        <v>200</v>
      </c>
      <c r="I103" s="60">
        <v>200</v>
      </c>
      <c r="J103" s="60">
        <v>200</v>
      </c>
      <c r="K103" s="60">
        <v>200</v>
      </c>
      <c r="L103" s="60">
        <v>200</v>
      </c>
      <c r="M103" s="60">
        <v>200</v>
      </c>
      <c r="N103" s="60">
        <v>200</v>
      </c>
      <c r="O103" s="60">
        <v>805</v>
      </c>
      <c r="P103" s="60">
        <v>2205</v>
      </c>
      <c r="Q103" s="61"/>
      <c r="R103" s="61"/>
      <c r="S103" s="59" t="s">
        <v>329</v>
      </c>
      <c r="U103" s="53"/>
      <c r="V103" s="53"/>
      <c r="W103" s="53"/>
      <c r="X103" s="53"/>
      <c r="Y103" s="53"/>
      <c r="Z103" s="53"/>
      <c r="AA103" s="53"/>
      <c r="AB103" s="53"/>
      <c r="AC103" s="53"/>
      <c r="AD103" s="53"/>
      <c r="AE103" s="53"/>
      <c r="AF103" s="53"/>
      <c r="AG103" s="53"/>
    </row>
    <row r="104" spans="2:37" ht="15" customHeight="1" x14ac:dyDescent="0.25">
      <c r="B104" s="135" t="str">
        <f>HYPERLINK("https://www.pbo.gov.au/elections/2025-general-election/2025-election-commitments-costings/suburban-rail-loop-not-proceeding", "ECR-2025-2600")</f>
        <v>ECR-2025-2600</v>
      </c>
      <c r="C104" s="59" t="s">
        <v>158</v>
      </c>
      <c r="D104" s="60">
        <v>800</v>
      </c>
      <c r="E104" s="60">
        <v>800</v>
      </c>
      <c r="F104" s="60">
        <v>600</v>
      </c>
      <c r="G104" s="60">
        <v>0</v>
      </c>
      <c r="H104" s="60">
        <v>0</v>
      </c>
      <c r="I104" s="60">
        <v>0</v>
      </c>
      <c r="J104" s="60">
        <v>0</v>
      </c>
      <c r="K104" s="60">
        <v>0</v>
      </c>
      <c r="L104" s="60">
        <v>0</v>
      </c>
      <c r="M104" s="60">
        <v>0</v>
      </c>
      <c r="N104" s="60">
        <v>0</v>
      </c>
      <c r="O104" s="60">
        <v>2200</v>
      </c>
      <c r="P104" s="60">
        <v>2200</v>
      </c>
      <c r="Q104" s="61"/>
      <c r="R104" s="61"/>
      <c r="S104" s="59" t="s">
        <v>311</v>
      </c>
      <c r="U104" s="53"/>
      <c r="V104" s="53"/>
      <c r="W104" s="53"/>
      <c r="X104" s="53"/>
      <c r="Y104" s="53"/>
      <c r="Z104" s="53"/>
      <c r="AA104" s="53"/>
      <c r="AB104" s="53"/>
      <c r="AC104" s="53"/>
      <c r="AD104" s="53"/>
      <c r="AE104" s="53"/>
      <c r="AF104" s="53"/>
      <c r="AG104" s="53"/>
    </row>
    <row r="105" spans="2:37" ht="15" customHeight="1" x14ac:dyDescent="0.25">
      <c r="B105" s="135" t="str">
        <f>HYPERLINK("https://www.pbo.gov.au/elections/2025-general-election/2025-election-commitments-costings/super-home-buyer-scheme", "ECR-2025-2301")</f>
        <v>ECR-2025-2301</v>
      </c>
      <c r="C105" s="59" t="s">
        <v>210</v>
      </c>
      <c r="D105" s="60">
        <v>-146</v>
      </c>
      <c r="E105" s="60">
        <v>-91</v>
      </c>
      <c r="F105" s="60">
        <v>-133</v>
      </c>
      <c r="G105" s="60">
        <v>-169</v>
      </c>
      <c r="H105" s="60">
        <v>-200</v>
      </c>
      <c r="I105" s="60">
        <v>-230</v>
      </c>
      <c r="J105" s="60">
        <v>-253</v>
      </c>
      <c r="K105" s="60">
        <v>-273</v>
      </c>
      <c r="L105" s="60">
        <v>-292</v>
      </c>
      <c r="M105" s="60">
        <v>-310</v>
      </c>
      <c r="N105" s="60">
        <v>-325</v>
      </c>
      <c r="O105" s="60">
        <v>-539</v>
      </c>
      <c r="P105" s="60">
        <v>-2422</v>
      </c>
      <c r="Q105" s="61"/>
      <c r="R105" s="61"/>
      <c r="S105" s="59" t="s">
        <v>327</v>
      </c>
      <c r="U105" s="53"/>
      <c r="V105" s="53"/>
      <c r="W105" s="53"/>
      <c r="X105" s="53"/>
      <c r="Y105" s="53"/>
      <c r="Z105" s="53"/>
      <c r="AA105" s="53"/>
      <c r="AB105" s="53"/>
      <c r="AC105" s="53"/>
      <c r="AD105" s="53"/>
      <c r="AE105" s="53"/>
      <c r="AF105" s="53"/>
      <c r="AG105" s="53"/>
    </row>
    <row r="106" spans="2:37" ht="15" customHeight="1" x14ac:dyDescent="0.25">
      <c r="B106" s="135" t="str">
        <f>HYPERLINK("https://www.pbo.gov.au/elections/2025-general-election/2025-election-commitments-costings/supporting-local-community-infrastructure-projects", "ECR-2025-2369")</f>
        <v>ECR-2025-2369</v>
      </c>
      <c r="C106" s="59" t="s">
        <v>255</v>
      </c>
      <c r="D106" s="60">
        <v>-458.8</v>
      </c>
      <c r="E106" s="60">
        <v>-435.6</v>
      </c>
      <c r="F106" s="60">
        <v>-400.8</v>
      </c>
      <c r="G106" s="60">
        <v>-349.5</v>
      </c>
      <c r="H106" s="60">
        <v>0</v>
      </c>
      <c r="I106" s="60">
        <v>0</v>
      </c>
      <c r="J106" s="60">
        <v>0</v>
      </c>
      <c r="K106" s="60">
        <v>0</v>
      </c>
      <c r="L106" s="60">
        <v>0</v>
      </c>
      <c r="M106" s="60">
        <v>0</v>
      </c>
      <c r="N106" s="60">
        <v>0</v>
      </c>
      <c r="O106" s="60">
        <v>-1644.7</v>
      </c>
      <c r="P106" s="60">
        <v>-1644.7</v>
      </c>
      <c r="Q106" s="61"/>
      <c r="R106" s="61"/>
      <c r="S106" s="59" t="s">
        <v>261</v>
      </c>
      <c r="U106" s="53"/>
      <c r="V106" s="53"/>
      <c r="W106" s="53"/>
      <c r="X106" s="53"/>
      <c r="Y106" s="53"/>
      <c r="Z106" s="53"/>
      <c r="AA106" s="53"/>
      <c r="AB106" s="53"/>
      <c r="AC106" s="53"/>
      <c r="AD106" s="53"/>
      <c r="AE106" s="53"/>
      <c r="AF106" s="53"/>
      <c r="AG106" s="53"/>
    </row>
    <row r="107" spans="2:37" ht="15" customHeight="1" x14ac:dyDescent="0.25">
      <c r="B107" s="135" t="str">
        <f>HYPERLINK("https://www.pbo.gov.au/elections/2025-general-election/2025-election-commitments-costings/Tradie%20and%20trainee%20booster%20apprentice%20and%20trainee%20hiring%20incentive", "ECR-2025-2325")</f>
        <v>ECR-2025-2325</v>
      </c>
      <c r="C107" s="59" t="s">
        <v>426</v>
      </c>
      <c r="D107" s="60">
        <v>-30</v>
      </c>
      <c r="E107" s="60">
        <v>-141</v>
      </c>
      <c r="F107" s="60">
        <v>-184</v>
      </c>
      <c r="G107" s="60">
        <v>-156</v>
      </c>
      <c r="H107" s="60">
        <v>-45</v>
      </c>
      <c r="I107" s="60">
        <v>-2</v>
      </c>
      <c r="J107" s="60">
        <v>0</v>
      </c>
      <c r="K107" s="60">
        <v>0</v>
      </c>
      <c r="L107" s="60">
        <v>0</v>
      </c>
      <c r="M107" s="60">
        <v>0</v>
      </c>
      <c r="N107" s="60">
        <v>0</v>
      </c>
      <c r="O107" s="60">
        <v>-511</v>
      </c>
      <c r="P107" s="60">
        <v>-558</v>
      </c>
      <c r="Q107" s="61"/>
      <c r="R107" s="61"/>
      <c r="S107" s="59" t="s">
        <v>322</v>
      </c>
      <c r="U107" s="53"/>
      <c r="V107" s="53"/>
      <c r="W107" s="53"/>
      <c r="X107" s="53"/>
      <c r="Y107" s="53"/>
      <c r="Z107" s="53"/>
      <c r="AA107" s="53"/>
      <c r="AB107" s="53"/>
      <c r="AC107" s="53"/>
      <c r="AD107" s="53"/>
      <c r="AE107" s="53"/>
      <c r="AF107" s="53"/>
      <c r="AG107" s="53"/>
    </row>
    <row r="108" spans="2:37" ht="15" customHeight="1" x14ac:dyDescent="0.25">
      <c r="B108" s="135" t="str">
        <f>HYPERLINK("https://www.pbo.gov.au/elections/2025-general-election/2025-election-commitments-costings/two-tiered-student-visa-application-charge", "ECR-2025-2852")</f>
        <v>ECR-2025-2852</v>
      </c>
      <c r="C108" s="59" t="s">
        <v>373</v>
      </c>
      <c r="D108" s="60">
        <v>797.1</v>
      </c>
      <c r="E108" s="60">
        <v>788</v>
      </c>
      <c r="F108" s="60">
        <v>769</v>
      </c>
      <c r="G108" s="60">
        <v>758</v>
      </c>
      <c r="H108" s="60">
        <v>746.9</v>
      </c>
      <c r="I108" s="60">
        <v>733.9</v>
      </c>
      <c r="J108" s="60">
        <v>719.9</v>
      </c>
      <c r="K108" s="60">
        <v>699.9</v>
      </c>
      <c r="L108" s="60">
        <v>678.9</v>
      </c>
      <c r="M108" s="60">
        <v>654.9</v>
      </c>
      <c r="N108" s="60">
        <v>627.9</v>
      </c>
      <c r="O108" s="60">
        <v>3112.1</v>
      </c>
      <c r="P108" s="60">
        <v>7974.4</v>
      </c>
      <c r="Q108" s="61"/>
      <c r="R108" s="61"/>
      <c r="S108" s="59" t="s">
        <v>314</v>
      </c>
      <c r="U108" s="53"/>
      <c r="V108" s="53"/>
      <c r="W108" s="53"/>
      <c r="X108" s="53"/>
      <c r="Y108" s="53"/>
      <c r="Z108" s="53"/>
      <c r="AA108" s="53"/>
      <c r="AB108" s="53"/>
      <c r="AC108" s="53"/>
      <c r="AD108" s="53"/>
      <c r="AE108" s="53"/>
      <c r="AF108" s="53"/>
      <c r="AG108" s="53"/>
    </row>
    <row r="109" spans="2:37" ht="15" customHeight="1" x14ac:dyDescent="0.25">
      <c r="B109" s="59" t="s">
        <v>119</v>
      </c>
      <c r="C109" s="59" t="s">
        <v>398</v>
      </c>
      <c r="D109" s="60">
        <v>0</v>
      </c>
      <c r="E109" s="60">
        <v>0</v>
      </c>
      <c r="F109" s="60">
        <v>0</v>
      </c>
      <c r="G109" s="60">
        <v>0</v>
      </c>
      <c r="H109" s="60">
        <v>0</v>
      </c>
      <c r="I109" s="60">
        <v>0</v>
      </c>
      <c r="J109" s="60">
        <v>0</v>
      </c>
      <c r="K109" s="60">
        <v>0</v>
      </c>
      <c r="L109" s="60">
        <v>0</v>
      </c>
      <c r="M109" s="60">
        <v>0</v>
      </c>
      <c r="N109" s="60">
        <v>0</v>
      </c>
      <c r="O109" s="60">
        <v>0</v>
      </c>
      <c r="P109" s="60">
        <v>0</v>
      </c>
      <c r="Q109" s="61"/>
      <c r="R109" s="61"/>
      <c r="S109" s="59" t="s">
        <v>261</v>
      </c>
      <c r="U109" s="53"/>
      <c r="V109" s="53"/>
      <c r="W109" s="53"/>
      <c r="X109" s="53"/>
      <c r="Y109" s="53"/>
      <c r="Z109" s="53"/>
      <c r="AA109" s="53"/>
      <c r="AB109" s="53"/>
      <c r="AC109" s="53"/>
      <c r="AD109" s="53"/>
      <c r="AE109" s="53"/>
      <c r="AF109" s="53"/>
      <c r="AG109" s="53"/>
    </row>
    <row r="110" spans="2:37" ht="15" customHeight="1" x14ac:dyDescent="0.25">
      <c r="B110" s="62" t="s">
        <v>378</v>
      </c>
      <c r="C110" s="62"/>
      <c r="D110" s="63">
        <v>470.8</v>
      </c>
      <c r="E110" s="63">
        <v>496</v>
      </c>
      <c r="F110" s="63">
        <v>722.4</v>
      </c>
      <c r="G110" s="63">
        <v>248.7</v>
      </c>
      <c r="H110" s="63">
        <v>4218</v>
      </c>
      <c r="I110" s="63">
        <v>28.2</v>
      </c>
      <c r="J110" s="63">
        <v>191</v>
      </c>
      <c r="K110" s="63">
        <v>75.900000000000006</v>
      </c>
      <c r="L110" s="63">
        <v>-251.8</v>
      </c>
      <c r="M110" s="63">
        <v>-1506.8</v>
      </c>
      <c r="N110" s="63">
        <v>-1069</v>
      </c>
      <c r="O110" s="63">
        <v>1937.9</v>
      </c>
      <c r="P110" s="63">
        <v>3623.4</v>
      </c>
      <c r="Q110" s="64" t="s">
        <v>9</v>
      </c>
      <c r="R110" s="64"/>
      <c r="S110" s="62" t="s">
        <v>10</v>
      </c>
      <c r="U110" s="53"/>
      <c r="V110" s="53"/>
      <c r="W110" s="53"/>
      <c r="X110" s="53"/>
      <c r="Y110" s="53"/>
      <c r="Z110" s="53"/>
      <c r="AA110" s="53"/>
      <c r="AB110" s="53"/>
      <c r="AC110" s="53"/>
      <c r="AD110" s="53"/>
      <c r="AE110" s="53"/>
      <c r="AF110" s="53"/>
      <c r="AG110" s="53"/>
    </row>
    <row r="111" spans="2:37" ht="15" customHeight="1" x14ac:dyDescent="0.25">
      <c r="B111" s="81" t="s">
        <v>96</v>
      </c>
      <c r="C111" s="3"/>
      <c r="D111" s="55" t="s">
        <v>10</v>
      </c>
      <c r="E111" s="55" t="s">
        <v>10</v>
      </c>
      <c r="F111" s="55" t="s">
        <v>10</v>
      </c>
      <c r="G111" s="55" t="s">
        <v>10</v>
      </c>
      <c r="H111" s="55" t="s">
        <v>10</v>
      </c>
      <c r="I111" s="55" t="s">
        <v>10</v>
      </c>
      <c r="J111" s="55" t="s">
        <v>10</v>
      </c>
      <c r="K111" s="55" t="s">
        <v>10</v>
      </c>
      <c r="L111" s="55" t="s">
        <v>10</v>
      </c>
      <c r="M111" s="55" t="s">
        <v>10</v>
      </c>
      <c r="N111" s="55" t="s">
        <v>10</v>
      </c>
      <c r="O111" s="55" t="s">
        <v>10</v>
      </c>
      <c r="P111" s="55" t="s">
        <v>10</v>
      </c>
      <c r="Q111" s="4"/>
      <c r="R111" s="4"/>
      <c r="S111" s="3" t="s">
        <v>10</v>
      </c>
    </row>
    <row r="112" spans="2:37" ht="15" customHeight="1" x14ac:dyDescent="0.25">
      <c r="B112" s="135" t="str">
        <f>HYPERLINK("https://www.pbo.gov.au/elections/2025-general-election/2025-election-commitments-costings/80th-anniversary-end-WWII-grants-program", "ECR-2025-2203")</f>
        <v>ECR-2025-2203</v>
      </c>
      <c r="C112" s="59" t="s">
        <v>134</v>
      </c>
      <c r="D112" s="60">
        <v>-10.199999999999999</v>
      </c>
      <c r="E112" s="60">
        <v>-12</v>
      </c>
      <c r="F112" s="60">
        <v>0</v>
      </c>
      <c r="G112" s="60">
        <v>0</v>
      </c>
      <c r="H112" s="60">
        <v>0</v>
      </c>
      <c r="I112" s="60">
        <v>0</v>
      </c>
      <c r="J112" s="60">
        <v>0</v>
      </c>
      <c r="K112" s="60">
        <v>0</v>
      </c>
      <c r="L112" s="60">
        <v>0</v>
      </c>
      <c r="M112" s="60">
        <v>0</v>
      </c>
      <c r="N112" s="60">
        <v>0</v>
      </c>
      <c r="O112" s="60">
        <v>-22.2</v>
      </c>
      <c r="P112" s="60">
        <v>-22.2</v>
      </c>
      <c r="Q112" s="61"/>
      <c r="R112" s="61"/>
      <c r="S112" s="59" t="s">
        <v>257</v>
      </c>
      <c r="U112" s="53"/>
      <c r="V112" s="53"/>
      <c r="W112" s="53"/>
      <c r="X112" s="53"/>
      <c r="Y112" s="53"/>
      <c r="Z112" s="53"/>
      <c r="AA112" s="53"/>
      <c r="AB112" s="53"/>
      <c r="AC112" s="53"/>
      <c r="AD112" s="53"/>
      <c r="AE112" s="53"/>
      <c r="AF112" s="53"/>
      <c r="AG112" s="53"/>
      <c r="AH112" s="79"/>
      <c r="AI112" s="79"/>
      <c r="AJ112" s="79"/>
      <c r="AK112" s="79"/>
    </row>
    <row r="113" spans="2:37" ht="15" customHeight="1" x14ac:dyDescent="0.25">
      <c r="B113" s="135" t="str">
        <f>HYPERLINK("https://www.pbo.gov.au/elections/2025-general-election/2025-election-commitments-costings/Adass-Israel-Synagogue-rebuild", "ECR-2025-2272")</f>
        <v>ECR-2025-2272</v>
      </c>
      <c r="C113" s="59" t="s">
        <v>427</v>
      </c>
      <c r="D113" s="60">
        <v>-3.8</v>
      </c>
      <c r="E113" s="60">
        <v>0</v>
      </c>
      <c r="F113" s="60">
        <v>0</v>
      </c>
      <c r="G113" s="60">
        <v>0</v>
      </c>
      <c r="H113" s="60">
        <v>0</v>
      </c>
      <c r="I113" s="60">
        <v>0</v>
      </c>
      <c r="J113" s="60">
        <v>0</v>
      </c>
      <c r="K113" s="60">
        <v>0</v>
      </c>
      <c r="L113" s="60">
        <v>0</v>
      </c>
      <c r="M113" s="60">
        <v>0</v>
      </c>
      <c r="N113" s="60">
        <v>0</v>
      </c>
      <c r="O113" s="60">
        <v>-3.8</v>
      </c>
      <c r="P113" s="60">
        <v>-3.8</v>
      </c>
      <c r="Q113" s="61"/>
      <c r="R113" s="61"/>
      <c r="S113" s="59" t="s">
        <v>258</v>
      </c>
      <c r="U113" s="53"/>
      <c r="V113" s="53"/>
      <c r="W113" s="53"/>
      <c r="X113" s="53"/>
      <c r="Y113" s="53"/>
      <c r="Z113" s="53"/>
      <c r="AA113" s="53"/>
      <c r="AB113" s="53"/>
      <c r="AC113" s="53"/>
      <c r="AD113" s="53"/>
      <c r="AE113" s="53"/>
      <c r="AF113" s="53"/>
      <c r="AG113" s="53"/>
      <c r="AH113" s="79"/>
      <c r="AI113" s="79"/>
      <c r="AJ113" s="79"/>
      <c r="AK113" s="79"/>
    </row>
    <row r="114" spans="2:37" ht="15" customHeight="1" x14ac:dyDescent="0.25">
      <c r="B114" s="135" t="str">
        <f>HYPERLINK("https://www.pbo.gov.au/elections/2025-general-election/2025-election-commitments-costings/alannah-and-madeline-foundation-support", "ECR-2025-2544")</f>
        <v>ECR-2025-2544</v>
      </c>
      <c r="C114" s="59" t="s">
        <v>138</v>
      </c>
      <c r="D114" s="60">
        <v>0</v>
      </c>
      <c r="E114" s="60">
        <v>-2</v>
      </c>
      <c r="F114" s="60">
        <v>-2</v>
      </c>
      <c r="G114" s="60">
        <v>-2</v>
      </c>
      <c r="H114" s="60">
        <v>0</v>
      </c>
      <c r="I114" s="60">
        <v>0</v>
      </c>
      <c r="J114" s="60">
        <v>0</v>
      </c>
      <c r="K114" s="60">
        <v>0</v>
      </c>
      <c r="L114" s="60">
        <v>0</v>
      </c>
      <c r="M114" s="60">
        <v>0</v>
      </c>
      <c r="N114" s="60">
        <v>0</v>
      </c>
      <c r="O114" s="60">
        <v>-6</v>
      </c>
      <c r="P114" s="60">
        <v>-6</v>
      </c>
      <c r="Q114" s="61"/>
      <c r="R114" s="61"/>
      <c r="S114" s="59" t="s">
        <v>259</v>
      </c>
      <c r="U114" s="53"/>
      <c r="V114" s="53"/>
      <c r="W114" s="53"/>
      <c r="X114" s="53"/>
      <c r="Y114" s="53"/>
      <c r="Z114" s="53"/>
      <c r="AA114" s="53"/>
      <c r="AB114" s="53"/>
      <c r="AC114" s="53"/>
      <c r="AD114" s="53"/>
      <c r="AE114" s="53"/>
      <c r="AF114" s="53"/>
      <c r="AG114" s="53"/>
      <c r="AH114" s="79"/>
      <c r="AI114" s="79"/>
      <c r="AJ114" s="79"/>
      <c r="AK114" s="79"/>
    </row>
    <row r="115" spans="2:37" ht="15" customHeight="1" x14ac:dyDescent="0.25">
      <c r="B115" s="135" t="str">
        <f>HYPERLINK("https://www.pbo.gov.au/elections/2025-general-election/2025-election-commitments-costings/albany-national-anzac-centre-commonwealth-support", "ECR-2025-2795")</f>
        <v>ECR-2025-2795</v>
      </c>
      <c r="C115" s="59" t="s">
        <v>129</v>
      </c>
      <c r="D115" s="60">
        <v>-1.5</v>
      </c>
      <c r="E115" s="60">
        <v>-1.5</v>
      </c>
      <c r="F115" s="60">
        <v>-1.5</v>
      </c>
      <c r="G115" s="60">
        <v>-1.5</v>
      </c>
      <c r="H115" s="60">
        <v>0</v>
      </c>
      <c r="I115" s="60">
        <v>0</v>
      </c>
      <c r="J115" s="60">
        <v>0</v>
      </c>
      <c r="K115" s="60">
        <v>0</v>
      </c>
      <c r="L115" s="60">
        <v>0</v>
      </c>
      <c r="M115" s="60">
        <v>0</v>
      </c>
      <c r="N115" s="60">
        <v>0</v>
      </c>
      <c r="O115" s="60">
        <v>-6</v>
      </c>
      <c r="P115" s="60">
        <v>-6</v>
      </c>
      <c r="Q115" s="61"/>
      <c r="R115" s="61"/>
      <c r="S115" s="59" t="s">
        <v>260</v>
      </c>
      <c r="U115" s="53"/>
      <c r="V115" s="53"/>
      <c r="W115" s="53"/>
      <c r="X115" s="53"/>
      <c r="Y115" s="53"/>
      <c r="Z115" s="53"/>
      <c r="AA115" s="53"/>
      <c r="AB115" s="53"/>
      <c r="AC115" s="53"/>
      <c r="AD115" s="53"/>
      <c r="AE115" s="53"/>
      <c r="AF115" s="53"/>
      <c r="AG115" s="53"/>
      <c r="AH115" s="79"/>
      <c r="AI115" s="79"/>
      <c r="AJ115" s="79"/>
      <c r="AK115" s="79"/>
    </row>
    <row r="116" spans="2:37" ht="15" customHeight="1" x14ac:dyDescent="0.25">
      <c r="B116" s="135" t="str">
        <f>HYPERLINK("https://www.pbo.gov.au/elections/2025-general-election/2025-election-commitments-costings/Ambassador%20for%20First%20Nations%20People%20-%20reverse", "ECR-2025-2056")</f>
        <v>ECR-2025-2056</v>
      </c>
      <c r="C116" s="59" t="s">
        <v>141</v>
      </c>
      <c r="D116" s="60">
        <v>0.6</v>
      </c>
      <c r="E116" s="60">
        <v>0.7</v>
      </c>
      <c r="F116" s="60">
        <v>0.7</v>
      </c>
      <c r="G116" s="60">
        <v>0.7</v>
      </c>
      <c r="H116" s="60">
        <v>0.7</v>
      </c>
      <c r="I116" s="60">
        <v>0.7</v>
      </c>
      <c r="J116" s="60">
        <v>0.7</v>
      </c>
      <c r="K116" s="60">
        <v>0.7</v>
      </c>
      <c r="L116" s="60">
        <v>0.8</v>
      </c>
      <c r="M116" s="60">
        <v>0.8</v>
      </c>
      <c r="N116" s="60">
        <v>0.8</v>
      </c>
      <c r="O116" s="60">
        <v>2.7</v>
      </c>
      <c r="P116" s="60">
        <v>7.9</v>
      </c>
      <c r="Q116" s="61"/>
      <c r="R116" s="61"/>
      <c r="S116" s="59" t="s">
        <v>261</v>
      </c>
      <c r="U116" s="53"/>
      <c r="V116" s="53"/>
      <c r="W116" s="53"/>
      <c r="X116" s="53"/>
      <c r="Y116" s="53"/>
      <c r="Z116" s="53"/>
      <c r="AA116" s="53"/>
      <c r="AB116" s="53"/>
      <c r="AC116" s="53"/>
      <c r="AD116" s="53"/>
      <c r="AE116" s="53"/>
      <c r="AF116" s="53"/>
      <c r="AG116" s="53"/>
      <c r="AH116" s="79"/>
      <c r="AI116" s="79"/>
      <c r="AJ116" s="79"/>
      <c r="AK116" s="79"/>
    </row>
    <row r="117" spans="2:37" ht="15" customHeight="1" x14ac:dyDescent="0.25">
      <c r="B117" s="59" t="s">
        <v>102</v>
      </c>
      <c r="C117" s="59" t="s">
        <v>399</v>
      </c>
      <c r="D117" s="60">
        <v>0</v>
      </c>
      <c r="E117" s="60">
        <v>0</v>
      </c>
      <c r="F117" s="60">
        <v>0</v>
      </c>
      <c r="G117" s="60">
        <v>0</v>
      </c>
      <c r="H117" s="60">
        <v>0</v>
      </c>
      <c r="I117" s="60">
        <v>0</v>
      </c>
      <c r="J117" s="60">
        <v>0</v>
      </c>
      <c r="K117" s="60">
        <v>0</v>
      </c>
      <c r="L117" s="60">
        <v>0</v>
      </c>
      <c r="M117" s="60">
        <v>0</v>
      </c>
      <c r="N117" s="60">
        <v>0</v>
      </c>
      <c r="O117" s="60">
        <v>0</v>
      </c>
      <c r="P117" s="60">
        <v>0</v>
      </c>
      <c r="Q117" s="61"/>
      <c r="R117" s="61"/>
      <c r="S117" s="59" t="s">
        <v>261</v>
      </c>
      <c r="U117" s="53"/>
      <c r="V117" s="53"/>
      <c r="W117" s="53"/>
      <c r="X117" s="53"/>
      <c r="Y117" s="53"/>
      <c r="Z117" s="53"/>
      <c r="AA117" s="53"/>
      <c r="AB117" s="53"/>
      <c r="AC117" s="53"/>
      <c r="AD117" s="53"/>
      <c r="AE117" s="53"/>
      <c r="AF117" s="53"/>
      <c r="AG117" s="53"/>
      <c r="AH117" s="79"/>
      <c r="AI117" s="79"/>
      <c r="AJ117" s="79"/>
      <c r="AK117" s="79"/>
    </row>
    <row r="118" spans="2:37" ht="15" customHeight="1" x14ac:dyDescent="0.25">
      <c r="B118" s="135" t="str">
        <f>HYPERLINK("https://www.pbo.gov.au/elections/2025-general-election/2025-election-commitments-costings/anti-semitism-taskforce", "ECR-2025-2477")</f>
        <v>ECR-2025-2477</v>
      </c>
      <c r="C118" s="59" t="s">
        <v>197</v>
      </c>
      <c r="D118" s="60">
        <v>-5.7</v>
      </c>
      <c r="E118" s="60">
        <v>-7.4</v>
      </c>
      <c r="F118" s="60">
        <v>-7.5</v>
      </c>
      <c r="G118" s="60">
        <v>-7.7</v>
      </c>
      <c r="H118" s="60">
        <v>0</v>
      </c>
      <c r="I118" s="60">
        <v>0</v>
      </c>
      <c r="J118" s="60">
        <v>0</v>
      </c>
      <c r="K118" s="60">
        <v>0</v>
      </c>
      <c r="L118" s="60">
        <v>0</v>
      </c>
      <c r="M118" s="60">
        <v>0</v>
      </c>
      <c r="N118" s="60">
        <v>0</v>
      </c>
      <c r="O118" s="60">
        <v>-28.3</v>
      </c>
      <c r="P118" s="60">
        <v>-28.3</v>
      </c>
      <c r="Q118" s="61"/>
      <c r="R118" s="61"/>
      <c r="S118" s="59" t="s">
        <v>262</v>
      </c>
      <c r="U118" s="53"/>
      <c r="V118" s="53"/>
      <c r="W118" s="53"/>
      <c r="X118" s="53"/>
      <c r="Y118" s="53"/>
      <c r="Z118" s="53"/>
      <c r="AA118" s="53"/>
      <c r="AB118" s="53"/>
      <c r="AC118" s="53"/>
      <c r="AD118" s="53"/>
      <c r="AE118" s="53"/>
      <c r="AF118" s="53"/>
      <c r="AG118" s="53"/>
      <c r="AH118" s="79"/>
      <c r="AI118" s="79"/>
      <c r="AJ118" s="79"/>
      <c r="AK118" s="79"/>
    </row>
    <row r="119" spans="2:37" ht="15" customHeight="1" x14ac:dyDescent="0.25">
      <c r="B119" s="135" t="str">
        <f>HYPERLINK("https://www.pbo.gov.au/elections/2025-general-election/2025-election-commitments-costings/australian-centre-counter-child-exploitation-double-funding", "ECR-2025-2141")</f>
        <v>ECR-2025-2141</v>
      </c>
      <c r="C119" s="59" t="s">
        <v>216</v>
      </c>
      <c r="D119" s="60">
        <v>-32.9</v>
      </c>
      <c r="E119" s="60">
        <v>-32.700000000000003</v>
      </c>
      <c r="F119" s="60">
        <v>-33.4</v>
      </c>
      <c r="G119" s="60">
        <v>-34.200000000000003</v>
      </c>
      <c r="H119" s="60">
        <v>-35.1</v>
      </c>
      <c r="I119" s="60">
        <v>-36</v>
      </c>
      <c r="J119" s="60">
        <v>-36.9</v>
      </c>
      <c r="K119" s="60">
        <v>-37.9</v>
      </c>
      <c r="L119" s="60">
        <v>-38.9</v>
      </c>
      <c r="M119" s="60">
        <v>-39.9</v>
      </c>
      <c r="N119" s="60">
        <v>-40.9</v>
      </c>
      <c r="O119" s="60">
        <v>-133.19999999999999</v>
      </c>
      <c r="P119" s="60">
        <v>-398.8</v>
      </c>
      <c r="Q119" s="61"/>
      <c r="R119" s="61"/>
      <c r="S119" s="59" t="s">
        <v>263</v>
      </c>
      <c r="U119" s="53"/>
      <c r="V119" s="53"/>
      <c r="W119" s="53"/>
      <c r="X119" s="53"/>
      <c r="Y119" s="53"/>
      <c r="Z119" s="53"/>
      <c r="AA119" s="53"/>
      <c r="AB119" s="53"/>
      <c r="AC119" s="53"/>
      <c r="AD119" s="53"/>
      <c r="AE119" s="53"/>
      <c r="AF119" s="53"/>
      <c r="AG119" s="53"/>
      <c r="AH119" s="79"/>
      <c r="AI119" s="79"/>
      <c r="AJ119" s="79"/>
      <c r="AK119" s="79"/>
    </row>
    <row r="120" spans="2:37" ht="15" customHeight="1" x14ac:dyDescent="0.25">
      <c r="B120" s="135" t="str">
        <f>HYPERLINK("https://www.pbo.gov.au/elections/2025-general-election/2025-election-commitments-costings/Australian%20Recycling%20Accreditation%20Program", "ECR-2025-2324")</f>
        <v>ECR-2025-2324</v>
      </c>
      <c r="C120" s="59" t="s">
        <v>137</v>
      </c>
      <c r="D120" s="60">
        <v>-0.6</v>
      </c>
      <c r="E120" s="60">
        <v>0</v>
      </c>
      <c r="F120" s="60">
        <v>0</v>
      </c>
      <c r="G120" s="60">
        <v>0</v>
      </c>
      <c r="H120" s="60">
        <v>0</v>
      </c>
      <c r="I120" s="60">
        <v>0</v>
      </c>
      <c r="J120" s="60">
        <v>0</v>
      </c>
      <c r="K120" s="60">
        <v>0</v>
      </c>
      <c r="L120" s="60">
        <v>0</v>
      </c>
      <c r="M120" s="60">
        <v>0</v>
      </c>
      <c r="N120" s="60">
        <v>0</v>
      </c>
      <c r="O120" s="60">
        <v>-0.6</v>
      </c>
      <c r="P120" s="60">
        <v>-0.6</v>
      </c>
      <c r="Q120" s="61"/>
      <c r="R120" s="61"/>
      <c r="S120" s="59" t="s">
        <v>264</v>
      </c>
      <c r="U120" s="53"/>
      <c r="V120" s="53"/>
      <c r="W120" s="53"/>
      <c r="X120" s="53"/>
      <c r="Y120" s="53"/>
      <c r="Z120" s="53"/>
      <c r="AA120" s="53"/>
      <c r="AB120" s="53"/>
      <c r="AC120" s="53"/>
      <c r="AD120" s="53"/>
      <c r="AE120" s="53"/>
      <c r="AF120" s="53"/>
      <c r="AG120" s="53"/>
      <c r="AH120" s="79"/>
      <c r="AI120" s="79"/>
      <c r="AJ120" s="79"/>
      <c r="AK120" s="79"/>
    </row>
    <row r="121" spans="2:37" ht="15" customHeight="1" x14ac:dyDescent="0.25">
      <c r="B121" s="135" t="str">
        <f>HYPERLINK("https://www.pbo.gov.au/elections/2025-general-election/2025-election-commitments-costings/battery-and-e-waste-disposal", "ECR-2025-2330")</f>
        <v>ECR-2025-2330</v>
      </c>
      <c r="C121" s="59" t="s">
        <v>192</v>
      </c>
      <c r="D121" s="60">
        <v>-48.4</v>
      </c>
      <c r="E121" s="60">
        <v>-0.4</v>
      </c>
      <c r="F121" s="60">
        <v>-0.4</v>
      </c>
      <c r="G121" s="60">
        <v>-0.4</v>
      </c>
      <c r="H121" s="60">
        <v>-0.4</v>
      </c>
      <c r="I121" s="60">
        <v>-0.5</v>
      </c>
      <c r="J121" s="60">
        <v>-0.5</v>
      </c>
      <c r="K121" s="60">
        <v>-0.2</v>
      </c>
      <c r="L121" s="60">
        <v>-0.2</v>
      </c>
      <c r="M121" s="60">
        <v>-0.2</v>
      </c>
      <c r="N121" s="60">
        <v>-0.2</v>
      </c>
      <c r="O121" s="60">
        <v>-49.7</v>
      </c>
      <c r="P121" s="60">
        <v>-52</v>
      </c>
      <c r="Q121" s="61"/>
      <c r="R121" s="61"/>
      <c r="S121" s="59" t="s">
        <v>265</v>
      </c>
      <c r="U121" s="53"/>
      <c r="V121" s="53"/>
      <c r="W121" s="53"/>
      <c r="X121" s="53"/>
      <c r="Y121" s="53"/>
      <c r="Z121" s="53"/>
      <c r="AA121" s="53"/>
      <c r="AB121" s="53"/>
      <c r="AC121" s="53"/>
      <c r="AD121" s="53"/>
      <c r="AE121" s="53"/>
      <c r="AF121" s="53"/>
      <c r="AG121" s="53"/>
    </row>
    <row r="122" spans="2:37" ht="15" customHeight="1" x14ac:dyDescent="0.25">
      <c r="B122" s="135" t="str">
        <f>HYPERLINK("https://www.pbo.gov.au/elections/2025-general-election/2025-election-commitments-costings/boosting-perpetrator-responses-including-electronic-monitoring-and-ankle-bracelets-high-risk-perpetrators", "ECR-2025-2806")</f>
        <v>ECR-2025-2806</v>
      </c>
      <c r="C122" s="59" t="s">
        <v>198</v>
      </c>
      <c r="D122" s="60">
        <v>-3</v>
      </c>
      <c r="E122" s="60">
        <v>-3</v>
      </c>
      <c r="F122" s="60">
        <v>-2.6</v>
      </c>
      <c r="G122" s="60">
        <v>0</v>
      </c>
      <c r="H122" s="60">
        <v>0</v>
      </c>
      <c r="I122" s="60">
        <v>0</v>
      </c>
      <c r="J122" s="60">
        <v>0</v>
      </c>
      <c r="K122" s="60">
        <v>0</v>
      </c>
      <c r="L122" s="60">
        <v>0</v>
      </c>
      <c r="M122" s="60">
        <v>0</v>
      </c>
      <c r="N122" s="60">
        <v>0</v>
      </c>
      <c r="O122" s="60">
        <v>-8.6</v>
      </c>
      <c r="P122" s="60">
        <v>-8.6</v>
      </c>
      <c r="Q122" s="61"/>
      <c r="R122" s="61"/>
      <c r="S122" s="59" t="s">
        <v>266</v>
      </c>
      <c r="U122" s="53"/>
      <c r="V122" s="53"/>
      <c r="W122" s="53"/>
      <c r="X122" s="53"/>
      <c r="Y122" s="53"/>
      <c r="Z122" s="53"/>
      <c r="AA122" s="53"/>
      <c r="AB122" s="53"/>
      <c r="AC122" s="53"/>
      <c r="AD122" s="53"/>
      <c r="AE122" s="53"/>
      <c r="AF122" s="53"/>
      <c r="AG122" s="53"/>
    </row>
    <row r="123" spans="2:37" ht="15" customHeight="1" x14ac:dyDescent="0.25">
      <c r="B123" s="135" t="str">
        <f>HYPERLINK("https://www.pbo.gov.au/elections/2025-general-election/2025-election-commitments-costings/Cashless-Debit-Card-trial-sites", "ECR-2025-2293")</f>
        <v>ECR-2025-2293</v>
      </c>
      <c r="C123" s="59" t="s">
        <v>200</v>
      </c>
      <c r="D123" s="60">
        <v>-24</v>
      </c>
      <c r="E123" s="60">
        <v>-20.8</v>
      </c>
      <c r="F123" s="60">
        <v>-20.5</v>
      </c>
      <c r="G123" s="60">
        <v>-21.3</v>
      </c>
      <c r="H123" s="60">
        <v>-23.4</v>
      </c>
      <c r="I123" s="60">
        <v>-25.6</v>
      </c>
      <c r="J123" s="60">
        <v>-28.1</v>
      </c>
      <c r="K123" s="60">
        <v>-30.8</v>
      </c>
      <c r="L123" s="60">
        <v>-34</v>
      </c>
      <c r="M123" s="60">
        <v>-37.4</v>
      </c>
      <c r="N123" s="60">
        <v>-41.3</v>
      </c>
      <c r="O123" s="60">
        <v>-86.6</v>
      </c>
      <c r="P123" s="60">
        <v>-307.2</v>
      </c>
      <c r="Q123" s="61"/>
      <c r="R123" s="61"/>
      <c r="S123" s="59" t="s">
        <v>267</v>
      </c>
      <c r="U123" s="53"/>
      <c r="V123" s="53"/>
      <c r="W123" s="53"/>
      <c r="X123" s="53"/>
      <c r="Y123" s="53"/>
      <c r="Z123" s="53"/>
      <c r="AA123" s="53"/>
      <c r="AB123" s="53"/>
      <c r="AC123" s="53"/>
      <c r="AD123" s="53"/>
      <c r="AE123" s="53"/>
      <c r="AF123" s="53"/>
      <c r="AG123" s="53"/>
    </row>
    <row r="124" spans="2:37" ht="15" customHeight="1" x14ac:dyDescent="0.25">
      <c r="B124" s="135" t="str">
        <f>HYPERLINK("https://www.pbo.gov.au/elections/2025-general-election/2025-election-commitments-costings/Chinese%20Museum%20of%20Queensland%20%E2%80%93%20support", "ECR-2025-2892")</f>
        <v>ECR-2025-2892</v>
      </c>
      <c r="C124" s="59" t="s">
        <v>133</v>
      </c>
      <c r="D124" s="60">
        <v>-0.2</v>
      </c>
      <c r="E124" s="60">
        <v>0</v>
      </c>
      <c r="F124" s="60">
        <v>0</v>
      </c>
      <c r="G124" s="60">
        <v>0</v>
      </c>
      <c r="H124" s="60">
        <v>0</v>
      </c>
      <c r="I124" s="60">
        <v>0</v>
      </c>
      <c r="J124" s="60">
        <v>0</v>
      </c>
      <c r="K124" s="60">
        <v>0</v>
      </c>
      <c r="L124" s="60">
        <v>0</v>
      </c>
      <c r="M124" s="60">
        <v>0</v>
      </c>
      <c r="N124" s="60">
        <v>0</v>
      </c>
      <c r="O124" s="60">
        <v>-0.2</v>
      </c>
      <c r="P124" s="60">
        <v>-0.2</v>
      </c>
      <c r="Q124" s="61"/>
      <c r="R124" s="61"/>
      <c r="S124" s="59" t="s">
        <v>268</v>
      </c>
      <c r="U124" s="53"/>
      <c r="V124" s="53"/>
      <c r="W124" s="53"/>
      <c r="X124" s="53"/>
      <c r="Y124" s="53"/>
      <c r="Z124" s="53"/>
      <c r="AA124" s="53"/>
      <c r="AB124" s="53"/>
      <c r="AC124" s="53"/>
      <c r="AD124" s="53"/>
      <c r="AE124" s="53"/>
      <c r="AF124" s="53"/>
      <c r="AG124" s="53"/>
    </row>
    <row r="125" spans="2:37" ht="15" customHeight="1" x14ac:dyDescent="0.25">
      <c r="B125" s="135" t="str">
        <f>HYPERLINK("https://www.pbo.gov.au/elections/2025-general-election/2025-election-commitments-costings/clean4shore-program", "ECR-2025-2031")</f>
        <v>ECR-2025-2031</v>
      </c>
      <c r="C125" s="59" t="s">
        <v>190</v>
      </c>
      <c r="D125" s="60">
        <v>-0.1</v>
      </c>
      <c r="E125" s="60">
        <v>-0.2</v>
      </c>
      <c r="F125" s="60">
        <v>-0.2</v>
      </c>
      <c r="G125" s="60">
        <v>0</v>
      </c>
      <c r="H125" s="60">
        <v>0</v>
      </c>
      <c r="I125" s="60">
        <v>0</v>
      </c>
      <c r="J125" s="60">
        <v>0</v>
      </c>
      <c r="K125" s="60">
        <v>0</v>
      </c>
      <c r="L125" s="60">
        <v>0</v>
      </c>
      <c r="M125" s="60">
        <v>0</v>
      </c>
      <c r="N125" s="60">
        <v>0</v>
      </c>
      <c r="O125" s="60">
        <v>-0.5</v>
      </c>
      <c r="P125" s="60">
        <v>-0.5</v>
      </c>
      <c r="Q125" s="61"/>
      <c r="R125" s="61"/>
      <c r="S125" s="59" t="s">
        <v>269</v>
      </c>
      <c r="U125" s="53"/>
      <c r="V125" s="53"/>
      <c r="W125" s="53"/>
      <c r="X125" s="53"/>
      <c r="Y125" s="53"/>
      <c r="Z125" s="53"/>
      <c r="AA125" s="53"/>
      <c r="AB125" s="53"/>
      <c r="AC125" s="53"/>
      <c r="AD125" s="53"/>
      <c r="AE125" s="53"/>
      <c r="AF125" s="53"/>
      <c r="AG125" s="53"/>
    </row>
    <row r="126" spans="2:37" ht="15" customHeight="1" x14ac:dyDescent="0.25">
      <c r="B126" s="59" t="s">
        <v>108</v>
      </c>
      <c r="C126" s="59" t="s">
        <v>400</v>
      </c>
      <c r="D126" s="60">
        <v>0</v>
      </c>
      <c r="E126" s="60">
        <v>0</v>
      </c>
      <c r="F126" s="60">
        <v>0</v>
      </c>
      <c r="G126" s="60">
        <v>0</v>
      </c>
      <c r="H126" s="60">
        <v>0</v>
      </c>
      <c r="I126" s="60">
        <v>0</v>
      </c>
      <c r="J126" s="60">
        <v>0</v>
      </c>
      <c r="K126" s="60">
        <v>0</v>
      </c>
      <c r="L126" s="60">
        <v>0</v>
      </c>
      <c r="M126" s="60">
        <v>0</v>
      </c>
      <c r="N126" s="60">
        <v>0</v>
      </c>
      <c r="O126" s="60">
        <v>0</v>
      </c>
      <c r="P126" s="60">
        <v>0</v>
      </c>
      <c r="Q126" s="61"/>
      <c r="R126" s="61"/>
      <c r="S126" s="59" t="s">
        <v>261</v>
      </c>
      <c r="U126" s="53"/>
      <c r="V126" s="53"/>
      <c r="W126" s="53"/>
      <c r="X126" s="53"/>
      <c r="Y126" s="53"/>
      <c r="Z126" s="53"/>
      <c r="AA126" s="53"/>
      <c r="AB126" s="53"/>
      <c r="AC126" s="53"/>
      <c r="AD126" s="53"/>
      <c r="AE126" s="53"/>
      <c r="AF126" s="53"/>
      <c r="AG126" s="53"/>
    </row>
    <row r="127" spans="2:37" ht="15" customHeight="1" x14ac:dyDescent="0.25">
      <c r="B127" s="135" t="str">
        <f>HYPERLINK("https://www.pbo.gov.au/elections/2025-general-election/2025-election-commitments-costings/Community%20language%20schools%20%E2%80%93%20support", "ECR-2025-2482")</f>
        <v>ECR-2025-2482</v>
      </c>
      <c r="C127" s="59" t="s">
        <v>428</v>
      </c>
      <c r="D127" s="60">
        <v>-6.3</v>
      </c>
      <c r="E127" s="60">
        <v>-6.3</v>
      </c>
      <c r="F127" s="60">
        <v>-6.2</v>
      </c>
      <c r="G127" s="60">
        <v>-6.2</v>
      </c>
      <c r="H127" s="60">
        <v>0</v>
      </c>
      <c r="I127" s="60">
        <v>0</v>
      </c>
      <c r="J127" s="60">
        <v>0</v>
      </c>
      <c r="K127" s="60">
        <v>0</v>
      </c>
      <c r="L127" s="60">
        <v>0</v>
      </c>
      <c r="M127" s="60">
        <v>0</v>
      </c>
      <c r="N127" s="60">
        <v>0</v>
      </c>
      <c r="O127" s="60">
        <v>-25</v>
      </c>
      <c r="P127" s="60">
        <v>-25</v>
      </c>
      <c r="Q127" s="61"/>
      <c r="R127" s="61"/>
      <c r="S127" s="59" t="s">
        <v>270</v>
      </c>
      <c r="U127" s="53"/>
      <c r="V127" s="53"/>
      <c r="W127" s="53"/>
      <c r="X127" s="53"/>
      <c r="Y127" s="53"/>
      <c r="Z127" s="53"/>
      <c r="AA127" s="53"/>
      <c r="AB127" s="53"/>
      <c r="AC127" s="53"/>
      <c r="AD127" s="53"/>
      <c r="AE127" s="53"/>
      <c r="AF127" s="53"/>
      <c r="AG127" s="53"/>
    </row>
    <row r="128" spans="2:37" ht="15" customHeight="1" x14ac:dyDescent="0.25">
      <c r="B128" s="135" t="str">
        <f>HYPERLINK("https://www.pbo.gov.au/elections/2025-general-election/2025-election-commitments-costings/Conservation%20Volunteers%20Australia%20%E2%80%93%20support", "ECR-2025-2515")</f>
        <v>ECR-2025-2515</v>
      </c>
      <c r="C128" s="59" t="s">
        <v>130</v>
      </c>
      <c r="D128" s="60">
        <v>-13.5</v>
      </c>
      <c r="E128" s="60">
        <v>-12</v>
      </c>
      <c r="F128" s="60">
        <v>-3</v>
      </c>
      <c r="G128" s="60">
        <v>-3</v>
      </c>
      <c r="H128" s="60">
        <v>0</v>
      </c>
      <c r="I128" s="60">
        <v>0</v>
      </c>
      <c r="J128" s="60">
        <v>0</v>
      </c>
      <c r="K128" s="60">
        <v>0</v>
      </c>
      <c r="L128" s="60">
        <v>0</v>
      </c>
      <c r="M128" s="60">
        <v>0</v>
      </c>
      <c r="N128" s="60">
        <v>0</v>
      </c>
      <c r="O128" s="60">
        <v>-31.5</v>
      </c>
      <c r="P128" s="60">
        <v>-31.5</v>
      </c>
      <c r="Q128" s="61"/>
      <c r="R128" s="61"/>
      <c r="S128" s="59" t="s">
        <v>264</v>
      </c>
      <c r="U128" s="53"/>
      <c r="V128" s="53"/>
      <c r="W128" s="53"/>
      <c r="X128" s="53"/>
      <c r="Y128" s="53"/>
      <c r="Z128" s="53"/>
      <c r="AA128" s="53"/>
      <c r="AB128" s="53"/>
      <c r="AC128" s="53"/>
      <c r="AD128" s="53"/>
      <c r="AE128" s="53"/>
      <c r="AF128" s="53"/>
      <c r="AG128" s="53"/>
    </row>
    <row r="129" spans="2:33" ht="15" customHeight="1" x14ac:dyDescent="0.25">
      <c r="B129" s="135" t="str">
        <f>HYPERLINK("https://www.pbo.gov.au/elections/2025-general-election/2025-election-commitments-costings/Creative-Australia-redirect-towards-Melbourne-Jewish-Arts-Quarter-and-supporting-broadcasting", "ECR-2025-2661")</f>
        <v>ECR-2025-2661</v>
      </c>
      <c r="C129" s="59" t="s">
        <v>347</v>
      </c>
      <c r="D129" s="60">
        <v>33.200000000000003</v>
      </c>
      <c r="E129" s="60">
        <v>2</v>
      </c>
      <c r="F129" s="60">
        <v>1.1000000000000001</v>
      </c>
      <c r="G129" s="60">
        <v>7.5</v>
      </c>
      <c r="H129" s="60">
        <v>0</v>
      </c>
      <c r="I129" s="60">
        <v>0</v>
      </c>
      <c r="J129" s="60">
        <v>0</v>
      </c>
      <c r="K129" s="60">
        <v>0</v>
      </c>
      <c r="L129" s="60">
        <v>0</v>
      </c>
      <c r="M129" s="60">
        <v>0</v>
      </c>
      <c r="N129" s="60">
        <v>0</v>
      </c>
      <c r="O129" s="60">
        <v>43.8</v>
      </c>
      <c r="P129" s="60">
        <v>43.8</v>
      </c>
      <c r="Q129" s="61"/>
      <c r="R129" s="61"/>
      <c r="S129" s="59" t="s">
        <v>261</v>
      </c>
      <c r="U129" s="53"/>
      <c r="V129" s="53"/>
      <c r="W129" s="53"/>
      <c r="X129" s="53"/>
      <c r="Y129" s="53"/>
      <c r="Z129" s="53"/>
      <c r="AA129" s="53"/>
      <c r="AB129" s="53"/>
      <c r="AC129" s="53"/>
      <c r="AD129" s="53"/>
      <c r="AE129" s="53"/>
      <c r="AF129" s="53"/>
      <c r="AG129" s="53"/>
    </row>
    <row r="130" spans="2:33" ht="15" customHeight="1" x14ac:dyDescent="0.25">
      <c r="B130" s="135" t="str">
        <f>HYPERLINK("https://www.pbo.gov.au/elections/2025-general-election/2025-election-commitments-costings/Domestic%20violence%20community%20training%20grant%20program", "ECR-2025-2162")</f>
        <v>ECR-2025-2162</v>
      </c>
      <c r="C130" s="59" t="s">
        <v>429</v>
      </c>
      <c r="D130" s="60">
        <v>-2.5</v>
      </c>
      <c r="E130" s="60">
        <v>-2.5</v>
      </c>
      <c r="F130" s="60">
        <v>-2.5</v>
      </c>
      <c r="G130" s="60">
        <v>-2.5</v>
      </c>
      <c r="H130" s="60">
        <v>0</v>
      </c>
      <c r="I130" s="60">
        <v>0</v>
      </c>
      <c r="J130" s="60">
        <v>0</v>
      </c>
      <c r="K130" s="60">
        <v>0</v>
      </c>
      <c r="L130" s="60">
        <v>0</v>
      </c>
      <c r="M130" s="60">
        <v>0</v>
      </c>
      <c r="N130" s="60">
        <v>0</v>
      </c>
      <c r="O130" s="60">
        <v>-10</v>
      </c>
      <c r="P130" s="60">
        <v>-10</v>
      </c>
      <c r="Q130" s="61"/>
      <c r="R130" s="61"/>
      <c r="S130" s="59" t="s">
        <v>271</v>
      </c>
      <c r="U130" s="53"/>
      <c r="V130" s="53"/>
      <c r="W130" s="53"/>
      <c r="X130" s="53"/>
      <c r="Y130" s="53"/>
      <c r="Z130" s="53"/>
      <c r="AA130" s="53"/>
      <c r="AB130" s="53"/>
      <c r="AC130" s="53"/>
      <c r="AD130" s="53"/>
      <c r="AE130" s="53"/>
      <c r="AF130" s="53"/>
      <c r="AG130" s="53"/>
    </row>
    <row r="131" spans="2:33" ht="15" customHeight="1" x14ac:dyDescent="0.25">
      <c r="B131" s="135" t="str">
        <f>HYPERLINK("https://www.pbo.gov.au/elections/2025-general-election/2025-election-commitments-costings/Driver-Reviver-site-upgrades", "ECR-2025-2190")</f>
        <v>ECR-2025-2190</v>
      </c>
      <c r="C131" s="59" t="s">
        <v>135</v>
      </c>
      <c r="D131" s="60">
        <v>-3.4</v>
      </c>
      <c r="E131" s="60">
        <v>-3.3</v>
      </c>
      <c r="F131" s="60">
        <v>-3.3</v>
      </c>
      <c r="G131" s="60">
        <v>0</v>
      </c>
      <c r="H131" s="60">
        <v>0</v>
      </c>
      <c r="I131" s="60">
        <v>0</v>
      </c>
      <c r="J131" s="60">
        <v>0</v>
      </c>
      <c r="K131" s="60">
        <v>0</v>
      </c>
      <c r="L131" s="60">
        <v>0</v>
      </c>
      <c r="M131" s="60">
        <v>0</v>
      </c>
      <c r="N131" s="60">
        <v>0</v>
      </c>
      <c r="O131" s="60">
        <v>-10</v>
      </c>
      <c r="P131" s="60">
        <v>-10</v>
      </c>
      <c r="Q131" s="61"/>
      <c r="R131" s="61"/>
      <c r="S131" s="59" t="s">
        <v>272</v>
      </c>
      <c r="U131" s="53"/>
      <c r="V131" s="53"/>
      <c r="W131" s="53"/>
      <c r="X131" s="53"/>
      <c r="Y131" s="53"/>
      <c r="Z131" s="53"/>
      <c r="AA131" s="53"/>
      <c r="AB131" s="53"/>
      <c r="AC131" s="53"/>
      <c r="AD131" s="53"/>
      <c r="AE131" s="53"/>
      <c r="AF131" s="53"/>
      <c r="AG131" s="53"/>
    </row>
    <row r="132" spans="2:33" ht="15" customHeight="1" x14ac:dyDescent="0.25">
      <c r="B132" s="135" t="str">
        <f>HYPERLINK("https://www.pbo.gov.au/elections/2025-general-election/2025-election-commitments-costings/drug-detection-and-screening-infrastructure-investment", "ECR-2025-2611")</f>
        <v>ECR-2025-2611</v>
      </c>
      <c r="C132" s="59" t="s">
        <v>191</v>
      </c>
      <c r="D132" s="60">
        <v>-17.7</v>
      </c>
      <c r="E132" s="60">
        <v>-17.3</v>
      </c>
      <c r="F132" s="60">
        <v>-17.2</v>
      </c>
      <c r="G132" s="60">
        <v>0</v>
      </c>
      <c r="H132" s="60">
        <v>0</v>
      </c>
      <c r="I132" s="60">
        <v>0</v>
      </c>
      <c r="J132" s="60">
        <v>0</v>
      </c>
      <c r="K132" s="60">
        <v>0</v>
      </c>
      <c r="L132" s="60">
        <v>0</v>
      </c>
      <c r="M132" s="60">
        <v>0</v>
      </c>
      <c r="N132" s="60">
        <v>0</v>
      </c>
      <c r="O132" s="60">
        <v>-52.2</v>
      </c>
      <c r="P132" s="60">
        <v>-52.2</v>
      </c>
      <c r="Q132" s="61"/>
      <c r="R132" s="61"/>
      <c r="S132" s="59" t="s">
        <v>273</v>
      </c>
      <c r="U132" s="53"/>
      <c r="V132" s="53"/>
      <c r="W132" s="53"/>
      <c r="X132" s="53"/>
      <c r="Y132" s="53"/>
      <c r="Z132" s="53"/>
      <c r="AA132" s="53"/>
      <c r="AB132" s="53"/>
      <c r="AC132" s="53"/>
      <c r="AD132" s="53"/>
      <c r="AE132" s="53"/>
      <c r="AF132" s="53"/>
      <c r="AG132" s="53"/>
    </row>
    <row r="133" spans="2:33" ht="15" customHeight="1" x14ac:dyDescent="0.25">
      <c r="B133" s="59" t="s">
        <v>106</v>
      </c>
      <c r="C133" s="59" t="s">
        <v>401</v>
      </c>
      <c r="D133" s="60">
        <v>0</v>
      </c>
      <c r="E133" s="60">
        <v>0</v>
      </c>
      <c r="F133" s="60">
        <v>0</v>
      </c>
      <c r="G133" s="60">
        <v>0</v>
      </c>
      <c r="H133" s="60">
        <v>0</v>
      </c>
      <c r="I133" s="60">
        <v>0</v>
      </c>
      <c r="J133" s="60">
        <v>0</v>
      </c>
      <c r="K133" s="60">
        <v>0</v>
      </c>
      <c r="L133" s="60">
        <v>0</v>
      </c>
      <c r="M133" s="60">
        <v>0</v>
      </c>
      <c r="N133" s="60">
        <v>0</v>
      </c>
      <c r="O133" s="60">
        <v>0</v>
      </c>
      <c r="P133" s="60">
        <v>0</v>
      </c>
      <c r="Q133" s="61"/>
      <c r="R133" s="61"/>
      <c r="S133" s="59" t="s">
        <v>261</v>
      </c>
      <c r="U133" s="53"/>
      <c r="V133" s="53"/>
      <c r="W133" s="53"/>
      <c r="X133" s="53"/>
      <c r="Y133" s="53"/>
      <c r="Z133" s="53"/>
      <c r="AA133" s="53"/>
      <c r="AB133" s="53"/>
      <c r="AC133" s="53"/>
      <c r="AD133" s="53"/>
      <c r="AE133" s="53"/>
      <c r="AF133" s="53"/>
      <c r="AG133" s="53"/>
    </row>
    <row r="134" spans="2:33" ht="15" customHeight="1" x14ac:dyDescent="0.25">
      <c r="B134" s="135" t="str">
        <f>HYPERLINK("https://www.pbo.gov.au/elections/2025-general-election/2025-election-commitments-costings/Expanding%20the%20PPP500%20Scheme%20to%20support%20vulnerable%20parties%20seeking%20a%20property%20settlement", "ECR-2025-2685")</f>
        <v>ECR-2025-2685</v>
      </c>
      <c r="C134" s="59" t="s">
        <v>139</v>
      </c>
      <c r="D134" s="60">
        <v>-6.8</v>
      </c>
      <c r="E134" s="60">
        <v>-6.8</v>
      </c>
      <c r="F134" s="60">
        <v>-6.9</v>
      </c>
      <c r="G134" s="60">
        <v>-6.9</v>
      </c>
      <c r="H134" s="60">
        <v>-6.9</v>
      </c>
      <c r="I134" s="60">
        <v>-6.9</v>
      </c>
      <c r="J134" s="60">
        <v>-6.9</v>
      </c>
      <c r="K134" s="60">
        <v>-6.9</v>
      </c>
      <c r="L134" s="60">
        <v>-6.9</v>
      </c>
      <c r="M134" s="60">
        <v>-6.9</v>
      </c>
      <c r="N134" s="60">
        <v>-6.9</v>
      </c>
      <c r="O134" s="60">
        <v>-27.4</v>
      </c>
      <c r="P134" s="60">
        <v>-75.7</v>
      </c>
      <c r="Q134" s="61"/>
      <c r="R134" s="61"/>
      <c r="S134" s="59" t="s">
        <v>266</v>
      </c>
      <c r="U134" s="53"/>
      <c r="V134" s="53"/>
      <c r="W134" s="53"/>
      <c r="X134" s="53"/>
      <c r="Y134" s="53"/>
      <c r="Z134" s="53"/>
      <c r="AA134" s="53"/>
      <c r="AB134" s="53"/>
      <c r="AC134" s="53"/>
      <c r="AD134" s="53"/>
      <c r="AE134" s="53"/>
      <c r="AF134" s="53"/>
      <c r="AG134" s="53"/>
    </row>
    <row r="135" spans="2:33" ht="15" customHeight="1" x14ac:dyDescent="0.25">
      <c r="B135" s="135" t="str">
        <f>HYPERLINK("https://www.pbo.gov.au/elections/2025-general-election/2025-election-commitments-costings/extend-domestic-family-and-sexual-violence-commissions-terms-reference", "ECR-2025-2825")</f>
        <v>ECR-2025-2825</v>
      </c>
      <c r="C135" s="59" t="s">
        <v>430</v>
      </c>
      <c r="D135" s="60">
        <v>-2.2999999999999998</v>
      </c>
      <c r="E135" s="60">
        <v>-2.4</v>
      </c>
      <c r="F135" s="60">
        <v>-2.4</v>
      </c>
      <c r="G135" s="60">
        <v>-2.4</v>
      </c>
      <c r="H135" s="60">
        <v>-2.4</v>
      </c>
      <c r="I135" s="60">
        <v>-2.5</v>
      </c>
      <c r="J135" s="60">
        <v>-2.5</v>
      </c>
      <c r="K135" s="60">
        <v>-2.5</v>
      </c>
      <c r="L135" s="60">
        <v>-2.6</v>
      </c>
      <c r="M135" s="60">
        <v>-2.6</v>
      </c>
      <c r="N135" s="60">
        <v>-2.6</v>
      </c>
      <c r="O135" s="60">
        <v>-9.5</v>
      </c>
      <c r="P135" s="60">
        <v>-27.2</v>
      </c>
      <c r="Q135" s="61"/>
      <c r="R135" s="61"/>
      <c r="S135" s="59" t="s">
        <v>266</v>
      </c>
      <c r="U135" s="53"/>
      <c r="V135" s="53"/>
      <c r="W135" s="53"/>
      <c r="X135" s="53"/>
      <c r="Y135" s="53"/>
      <c r="Z135" s="53"/>
      <c r="AA135" s="53"/>
      <c r="AB135" s="53"/>
      <c r="AC135" s="53"/>
      <c r="AD135" s="53"/>
      <c r="AE135" s="53"/>
      <c r="AF135" s="53"/>
      <c r="AG135" s="53"/>
    </row>
    <row r="136" spans="2:33" ht="15" customHeight="1" x14ac:dyDescent="0.25">
      <c r="B136" s="59" t="s">
        <v>109</v>
      </c>
      <c r="C136" s="59" t="s">
        <v>402</v>
      </c>
      <c r="D136" s="60">
        <v>0</v>
      </c>
      <c r="E136" s="60">
        <v>0</v>
      </c>
      <c r="F136" s="60">
        <v>0</v>
      </c>
      <c r="G136" s="60">
        <v>0</v>
      </c>
      <c r="H136" s="60">
        <v>0</v>
      </c>
      <c r="I136" s="60">
        <v>0</v>
      </c>
      <c r="J136" s="60">
        <v>0</v>
      </c>
      <c r="K136" s="60">
        <v>0</v>
      </c>
      <c r="L136" s="60">
        <v>0</v>
      </c>
      <c r="M136" s="60">
        <v>0</v>
      </c>
      <c r="N136" s="60">
        <v>0</v>
      </c>
      <c r="O136" s="60">
        <v>0</v>
      </c>
      <c r="P136" s="60">
        <v>0</v>
      </c>
      <c r="Q136" s="61"/>
      <c r="R136" s="61"/>
      <c r="S136" s="59" t="s">
        <v>274</v>
      </c>
      <c r="U136" s="53"/>
      <c r="V136" s="53"/>
      <c r="W136" s="53"/>
      <c r="X136" s="53"/>
      <c r="Y136" s="53"/>
      <c r="Z136" s="53"/>
      <c r="AA136" s="53"/>
      <c r="AB136" s="53"/>
      <c r="AC136" s="53"/>
      <c r="AD136" s="53"/>
      <c r="AE136" s="53"/>
      <c r="AF136" s="53"/>
      <c r="AG136" s="53"/>
    </row>
    <row r="137" spans="2:33" ht="15" customHeight="1" x14ac:dyDescent="0.25">
      <c r="B137" s="135" t="str">
        <f>HYPERLINK("https://www.pbo.gov.au/elections/2025-general-election/2025-election-commitments-costings/Fast%20Track%20scheme%20within%20the%20Administrative%20Review%20Tribunal%20%E2%80%93%202%20year%20trial", "ECR-2025-2742")</f>
        <v>ECR-2025-2742</v>
      </c>
      <c r="C137" s="59" t="s">
        <v>199</v>
      </c>
      <c r="D137" s="60">
        <v>-2</v>
      </c>
      <c r="E137" s="60">
        <v>-5</v>
      </c>
      <c r="F137" s="60">
        <v>-4.5</v>
      </c>
      <c r="G137" s="60">
        <v>0</v>
      </c>
      <c r="H137" s="60">
        <v>0</v>
      </c>
      <c r="I137" s="60">
        <v>0</v>
      </c>
      <c r="J137" s="60">
        <v>0</v>
      </c>
      <c r="K137" s="60">
        <v>0</v>
      </c>
      <c r="L137" s="60">
        <v>0</v>
      </c>
      <c r="M137" s="60">
        <v>0</v>
      </c>
      <c r="N137" s="60">
        <v>0</v>
      </c>
      <c r="O137" s="60">
        <v>-11.5</v>
      </c>
      <c r="P137" s="60">
        <v>-11.5</v>
      </c>
      <c r="Q137" s="61"/>
      <c r="R137" s="61"/>
      <c r="S137" s="59" t="s">
        <v>263</v>
      </c>
      <c r="U137" s="53"/>
      <c r="V137" s="53"/>
      <c r="W137" s="53"/>
      <c r="X137" s="53"/>
      <c r="Y137" s="53"/>
      <c r="Z137" s="53"/>
      <c r="AA137" s="53"/>
      <c r="AB137" s="53"/>
      <c r="AC137" s="53"/>
      <c r="AD137" s="53"/>
      <c r="AE137" s="53"/>
      <c r="AF137" s="53"/>
      <c r="AG137" s="53"/>
    </row>
    <row r="138" spans="2:33" ht="15" customHeight="1" x14ac:dyDescent="0.25">
      <c r="B138" s="135" t="str">
        <f>HYPERLINK("https://www.pbo.gov.au/elections/2025-general-election/2025-election-commitments-costings/Funding%20for%20Makarrata%2C%20Treaty%20and%20%E2%80%98Truth%20Telling%E2%80%99%20%E2%80%93%20redirect%20to%20Indigenous%20Affairs%20priorities", "ECR-2025-2342")</f>
        <v>ECR-2025-2342</v>
      </c>
      <c r="C138" s="59" t="s">
        <v>132</v>
      </c>
      <c r="D138" s="60">
        <v>26</v>
      </c>
      <c r="E138" s="60">
        <v>0</v>
      </c>
      <c r="F138" s="60">
        <v>0</v>
      </c>
      <c r="G138" s="60">
        <v>0</v>
      </c>
      <c r="H138" s="60">
        <v>0</v>
      </c>
      <c r="I138" s="60">
        <v>0</v>
      </c>
      <c r="J138" s="60">
        <v>0</v>
      </c>
      <c r="K138" s="60">
        <v>0</v>
      </c>
      <c r="L138" s="60">
        <v>0</v>
      </c>
      <c r="M138" s="60">
        <v>0</v>
      </c>
      <c r="N138" s="60">
        <v>0</v>
      </c>
      <c r="O138" s="60">
        <v>26</v>
      </c>
      <c r="P138" s="60">
        <v>26</v>
      </c>
      <c r="Q138" s="61"/>
      <c r="R138" s="61"/>
      <c r="S138" s="59" t="s">
        <v>261</v>
      </c>
      <c r="U138" s="53"/>
      <c r="V138" s="53"/>
      <c r="W138" s="53"/>
      <c r="X138" s="53"/>
      <c r="Y138" s="53"/>
      <c r="Z138" s="53"/>
      <c r="AA138" s="53"/>
      <c r="AB138" s="53"/>
      <c r="AC138" s="53"/>
      <c r="AD138" s="53"/>
      <c r="AE138" s="53"/>
      <c r="AF138" s="53"/>
      <c r="AG138" s="53"/>
    </row>
    <row r="139" spans="2:33" ht="15" customHeight="1" x14ac:dyDescent="0.25">
      <c r="B139" s="135" t="str">
        <f>HYPERLINK("https://www.pbo.gov.au/elections/2025-general-election/2025-election-commitments-costings/headstone-project-deductible-gift-recipient-status", "ECR-2025-2336")</f>
        <v>ECR-2025-2336</v>
      </c>
      <c r="C139" s="59" t="s">
        <v>431</v>
      </c>
      <c r="D139" s="60">
        <v>0</v>
      </c>
      <c r="E139" s="60" t="s">
        <v>12</v>
      </c>
      <c r="F139" s="60" t="s">
        <v>12</v>
      </c>
      <c r="G139" s="60" t="s">
        <v>12</v>
      </c>
      <c r="H139" s="60" t="s">
        <v>12</v>
      </c>
      <c r="I139" s="60" t="s">
        <v>12</v>
      </c>
      <c r="J139" s="60" t="s">
        <v>12</v>
      </c>
      <c r="K139" s="60" t="s">
        <v>12</v>
      </c>
      <c r="L139" s="60" t="s">
        <v>12</v>
      </c>
      <c r="M139" s="60" t="s">
        <v>12</v>
      </c>
      <c r="N139" s="60" t="s">
        <v>12</v>
      </c>
      <c r="O139" s="60">
        <v>0</v>
      </c>
      <c r="P139" s="60">
        <v>0</v>
      </c>
      <c r="Q139" s="61"/>
      <c r="R139" s="61"/>
      <c r="S139" s="59" t="s">
        <v>275</v>
      </c>
      <c r="U139" s="53"/>
      <c r="V139" s="53"/>
      <c r="W139" s="53"/>
      <c r="X139" s="53"/>
      <c r="Y139" s="53"/>
      <c r="Z139" s="53"/>
      <c r="AA139" s="53"/>
      <c r="AB139" s="53"/>
      <c r="AC139" s="53"/>
      <c r="AD139" s="53"/>
      <c r="AE139" s="53"/>
      <c r="AF139" s="53"/>
      <c r="AG139" s="53"/>
    </row>
    <row r="140" spans="2:33" ht="15" customHeight="1" x14ac:dyDescent="0.25">
      <c r="B140" s="135" t="str">
        <f>HYPERLINK("https://www.pbo.gov.au/elections/2025-general-election/2025-election-commitments-costings/increase-defence-spending-including-investing-fourth-F-35A-lightning-squadron", "ECR-2025-2734")</f>
        <v>ECR-2025-2734</v>
      </c>
      <c r="C140" s="59" t="s">
        <v>432</v>
      </c>
      <c r="D140" s="60">
        <v>-200</v>
      </c>
      <c r="E140" s="60">
        <v>-2950</v>
      </c>
      <c r="F140" s="60">
        <v>-3850</v>
      </c>
      <c r="G140" s="60">
        <v>-5700</v>
      </c>
      <c r="H140" s="60">
        <v>-7920</v>
      </c>
      <c r="I140" s="60">
        <v>-11510</v>
      </c>
      <c r="J140" s="60">
        <v>-15450</v>
      </c>
      <c r="K140" s="60">
        <v>-20420</v>
      </c>
      <c r="L140" s="60">
        <v>-25510</v>
      </c>
      <c r="M140" s="60">
        <v>-30700</v>
      </c>
      <c r="N140" s="60">
        <v>-32220</v>
      </c>
      <c r="O140" s="60">
        <v>-12700</v>
      </c>
      <c r="P140" s="60">
        <v>-156430</v>
      </c>
      <c r="Q140" s="61"/>
      <c r="R140" s="61"/>
      <c r="S140" s="59" t="s">
        <v>276</v>
      </c>
      <c r="U140" s="53"/>
      <c r="V140" s="53"/>
      <c r="W140" s="53"/>
      <c r="X140" s="53"/>
      <c r="Y140" s="53"/>
      <c r="Z140" s="53"/>
      <c r="AA140" s="53"/>
      <c r="AB140" s="53"/>
      <c r="AC140" s="53"/>
      <c r="AD140" s="53"/>
      <c r="AE140" s="53"/>
      <c r="AF140" s="53"/>
      <c r="AG140" s="53"/>
    </row>
    <row r="141" spans="2:33" ht="15" customHeight="1" x14ac:dyDescent="0.25">
      <c r="B141" s="135" t="str">
        <f>HYPERLINK("https://www.pbo.gov.au/elections/2025-general-election/2025-election-commitments-costings/Indigenous%20Advancement%20Strategy%20%E2%80%93%20reallocations", "ECR-2025-2385")</f>
        <v>ECR-2025-2385</v>
      </c>
      <c r="C141" s="59" t="s">
        <v>226</v>
      </c>
      <c r="D141" s="60">
        <v>14.9</v>
      </c>
      <c r="E141" s="60">
        <v>4.5999999999999996</v>
      </c>
      <c r="F141" s="60">
        <v>4.5999999999999996</v>
      </c>
      <c r="G141" s="60">
        <v>4.7</v>
      </c>
      <c r="H141" s="60">
        <v>4.7</v>
      </c>
      <c r="I141" s="60">
        <v>4.7</v>
      </c>
      <c r="J141" s="60">
        <v>4.7</v>
      </c>
      <c r="K141" s="60">
        <v>4.7</v>
      </c>
      <c r="L141" s="60">
        <v>4.7</v>
      </c>
      <c r="M141" s="60">
        <v>4.7</v>
      </c>
      <c r="N141" s="60">
        <v>4.7</v>
      </c>
      <c r="O141" s="60">
        <v>28.8</v>
      </c>
      <c r="P141" s="60">
        <v>61.7</v>
      </c>
      <c r="Q141" s="61"/>
      <c r="R141" s="61"/>
      <c r="S141" s="59" t="s">
        <v>261</v>
      </c>
      <c r="U141" s="53"/>
      <c r="V141" s="53"/>
      <c r="W141" s="53"/>
      <c r="X141" s="53"/>
      <c r="Y141" s="53"/>
      <c r="Z141" s="53"/>
      <c r="AA141" s="53"/>
      <c r="AB141" s="53"/>
      <c r="AC141" s="53"/>
      <c r="AD141" s="53"/>
      <c r="AE141" s="53"/>
      <c r="AF141" s="53"/>
      <c r="AG141" s="53"/>
    </row>
    <row r="142" spans="2:33" ht="15" customHeight="1" x14ac:dyDescent="0.25">
      <c r="B142" s="135" t="str">
        <f>HYPERLINK("https://www.pbo.gov.au/elections/2025-general-election/2025-election-commitments-costings/Investing%20in%20safer%20and%20more%20connected%20communities", "ECR-2025-2352")</f>
        <v>ECR-2025-2352</v>
      </c>
      <c r="C142" s="59" t="s">
        <v>225</v>
      </c>
      <c r="D142" s="60">
        <v>-54.8</v>
      </c>
      <c r="E142" s="60">
        <v>-35.9</v>
      </c>
      <c r="F142" s="60">
        <v>-15.6</v>
      </c>
      <c r="G142" s="60">
        <v>0</v>
      </c>
      <c r="H142" s="60">
        <v>0</v>
      </c>
      <c r="I142" s="60">
        <v>0</v>
      </c>
      <c r="J142" s="60">
        <v>0</v>
      </c>
      <c r="K142" s="60">
        <v>0</v>
      </c>
      <c r="L142" s="60">
        <v>0</v>
      </c>
      <c r="M142" s="60">
        <v>0</v>
      </c>
      <c r="N142" s="60">
        <v>0</v>
      </c>
      <c r="O142" s="60">
        <v>-106.3</v>
      </c>
      <c r="P142" s="60">
        <v>-106.3</v>
      </c>
      <c r="Q142" s="61"/>
      <c r="R142" s="61"/>
      <c r="S142" s="59" t="s">
        <v>261</v>
      </c>
      <c r="U142" s="53"/>
      <c r="V142" s="53"/>
      <c r="W142" s="53"/>
      <c r="X142" s="53"/>
      <c r="Y142" s="53"/>
      <c r="Z142" s="53"/>
      <c r="AA142" s="53"/>
      <c r="AB142" s="53"/>
      <c r="AC142" s="53"/>
      <c r="AD142" s="53"/>
      <c r="AE142" s="53"/>
      <c r="AF142" s="53"/>
      <c r="AG142" s="53"/>
    </row>
    <row r="143" spans="2:33" ht="15" customHeight="1" x14ac:dyDescent="0.25">
      <c r="B143" s="135" t="str">
        <f>HYPERLINK("https://www.pbo.gov.au/elections/2025-general-election/2025-election-commitments-costings/invictus-games-support", "ECR-2025-2502")</f>
        <v>ECR-2025-2502</v>
      </c>
      <c r="C143" s="59" t="s">
        <v>127</v>
      </c>
      <c r="D143" s="60">
        <v>-2.4</v>
      </c>
      <c r="E143" s="60">
        <v>-5.8</v>
      </c>
      <c r="F143" s="60">
        <v>0</v>
      </c>
      <c r="G143" s="60">
        <v>0</v>
      </c>
      <c r="H143" s="60">
        <v>0</v>
      </c>
      <c r="I143" s="60">
        <v>0</v>
      </c>
      <c r="J143" s="60">
        <v>0</v>
      </c>
      <c r="K143" s="60">
        <v>0</v>
      </c>
      <c r="L143" s="60">
        <v>0</v>
      </c>
      <c r="M143" s="60">
        <v>0</v>
      </c>
      <c r="N143" s="60">
        <v>0</v>
      </c>
      <c r="O143" s="60">
        <v>-8.1999999999999993</v>
      </c>
      <c r="P143" s="60">
        <v>-8.1999999999999993</v>
      </c>
      <c r="Q143" s="61"/>
      <c r="R143" s="61"/>
      <c r="S143" s="59" t="s">
        <v>277</v>
      </c>
      <c r="U143" s="53"/>
      <c r="V143" s="53"/>
      <c r="W143" s="53"/>
      <c r="X143" s="53"/>
      <c r="Y143" s="53"/>
      <c r="Z143" s="53"/>
      <c r="AA143" s="53"/>
      <c r="AB143" s="53"/>
      <c r="AC143" s="53"/>
      <c r="AD143" s="53"/>
      <c r="AE143" s="53"/>
      <c r="AF143" s="53"/>
      <c r="AG143" s="53"/>
    </row>
    <row r="144" spans="2:33" ht="15" customHeight="1" x14ac:dyDescent="0.25">
      <c r="B144" s="135" t="str">
        <f>HYPERLINK("https://www.pbo.gov.au/elections/2025-general-election/2025-election-commitments-costings/joint-taskforce-investigate-union-corruption-and-links-organised-crime-construction-industry", "ECR-2025-2726")</f>
        <v>ECR-2025-2726</v>
      </c>
      <c r="C144" s="59" t="s">
        <v>140</v>
      </c>
      <c r="D144" s="60">
        <v>-6</v>
      </c>
      <c r="E144" s="60">
        <v>-6.1</v>
      </c>
      <c r="F144" s="60">
        <v>-6.2</v>
      </c>
      <c r="G144" s="60">
        <v>0</v>
      </c>
      <c r="H144" s="60">
        <v>0</v>
      </c>
      <c r="I144" s="60">
        <v>0</v>
      </c>
      <c r="J144" s="60">
        <v>0</v>
      </c>
      <c r="K144" s="60">
        <v>0</v>
      </c>
      <c r="L144" s="60">
        <v>0</v>
      </c>
      <c r="M144" s="60">
        <v>0</v>
      </c>
      <c r="N144" s="60">
        <v>0</v>
      </c>
      <c r="O144" s="60">
        <v>-18.3</v>
      </c>
      <c r="P144" s="60">
        <v>-18.3</v>
      </c>
      <c r="Q144" s="61"/>
      <c r="R144" s="61"/>
      <c r="S144" s="59" t="s">
        <v>278</v>
      </c>
      <c r="U144" s="53"/>
      <c r="V144" s="53"/>
      <c r="W144" s="53"/>
      <c r="X144" s="53"/>
      <c r="Y144" s="53"/>
      <c r="Z144" s="53"/>
      <c r="AA144" s="53"/>
      <c r="AB144" s="53"/>
      <c r="AC144" s="53"/>
      <c r="AD144" s="53"/>
      <c r="AE144" s="53"/>
      <c r="AF144" s="53"/>
      <c r="AG144" s="53"/>
    </row>
    <row r="145" spans="2:33" ht="15" customHeight="1" x14ac:dyDescent="0.25">
      <c r="B145" s="135" t="str">
        <f>HYPERLINK("https://www.pbo.gov.au/elections/2025-general-election/2025-election-commitments-costings/Judicial%20inquiry%20into%20anti-Semitism%20at%20universities", "ECR-2025-2582")</f>
        <v>ECR-2025-2582</v>
      </c>
      <c r="C145" s="59" t="s">
        <v>128</v>
      </c>
      <c r="D145" s="60">
        <v>-4.2</v>
      </c>
      <c r="E145" s="60">
        <v>0</v>
      </c>
      <c r="F145" s="60">
        <v>0</v>
      </c>
      <c r="G145" s="60">
        <v>0</v>
      </c>
      <c r="H145" s="60">
        <v>0</v>
      </c>
      <c r="I145" s="60">
        <v>0</v>
      </c>
      <c r="J145" s="60">
        <v>0</v>
      </c>
      <c r="K145" s="60">
        <v>0</v>
      </c>
      <c r="L145" s="60">
        <v>0</v>
      </c>
      <c r="M145" s="60">
        <v>0</v>
      </c>
      <c r="N145" s="60">
        <v>0</v>
      </c>
      <c r="O145" s="60">
        <v>-4.2</v>
      </c>
      <c r="P145" s="60">
        <v>-4.2</v>
      </c>
      <c r="Q145" s="61"/>
      <c r="R145" s="61"/>
      <c r="S145" s="59" t="s">
        <v>262</v>
      </c>
      <c r="U145" s="53"/>
      <c r="V145" s="53"/>
      <c r="W145" s="53"/>
      <c r="X145" s="53"/>
      <c r="Y145" s="53"/>
      <c r="Z145" s="53"/>
      <c r="AA145" s="53"/>
      <c r="AB145" s="53"/>
      <c r="AC145" s="53"/>
      <c r="AD145" s="53"/>
      <c r="AE145" s="53"/>
      <c r="AF145" s="53"/>
      <c r="AG145" s="53"/>
    </row>
    <row r="146" spans="2:33" ht="15" customHeight="1" x14ac:dyDescent="0.25">
      <c r="B146" s="59" t="s">
        <v>104</v>
      </c>
      <c r="C146" s="59" t="s">
        <v>403</v>
      </c>
      <c r="D146" s="60">
        <v>0</v>
      </c>
      <c r="E146" s="60">
        <v>0</v>
      </c>
      <c r="F146" s="60">
        <v>0</v>
      </c>
      <c r="G146" s="60">
        <v>0</v>
      </c>
      <c r="H146" s="60">
        <v>0</v>
      </c>
      <c r="I146" s="60">
        <v>0</v>
      </c>
      <c r="J146" s="60">
        <v>0</v>
      </c>
      <c r="K146" s="60">
        <v>0</v>
      </c>
      <c r="L146" s="60">
        <v>0</v>
      </c>
      <c r="M146" s="60">
        <v>0</v>
      </c>
      <c r="N146" s="60">
        <v>0</v>
      </c>
      <c r="O146" s="60">
        <v>0</v>
      </c>
      <c r="P146" s="60">
        <v>0</v>
      </c>
      <c r="Q146" s="61"/>
      <c r="R146" s="61"/>
      <c r="S146" s="59" t="s">
        <v>279</v>
      </c>
      <c r="U146" s="53"/>
      <c r="V146" s="53"/>
      <c r="W146" s="53"/>
      <c r="X146" s="53"/>
      <c r="Y146" s="53"/>
      <c r="Z146" s="53"/>
      <c r="AA146" s="53"/>
      <c r="AB146" s="53"/>
      <c r="AC146" s="53"/>
      <c r="AD146" s="53"/>
      <c r="AE146" s="53"/>
      <c r="AF146" s="53"/>
      <c r="AG146" s="53"/>
    </row>
    <row r="147" spans="2:33" ht="15" customHeight="1" x14ac:dyDescent="0.25">
      <c r="B147" s="135" t="str">
        <f>HYPERLINK("https://www.pbo.gov.au/elections/2025-general-election/2025-election-commitments-costings/Men%27s-mental-health-additional-support-Movember-and-Men%27s-Sheds", "ECR-2025-2268")</f>
        <v>ECR-2025-2268</v>
      </c>
      <c r="C147" s="59" t="s">
        <v>131</v>
      </c>
      <c r="D147" s="60">
        <v>-8</v>
      </c>
      <c r="E147" s="60">
        <v>-8</v>
      </c>
      <c r="F147" s="60">
        <v>-8</v>
      </c>
      <c r="G147" s="60">
        <v>-8</v>
      </c>
      <c r="H147" s="60">
        <v>0</v>
      </c>
      <c r="I147" s="60">
        <v>0</v>
      </c>
      <c r="J147" s="60">
        <v>0</v>
      </c>
      <c r="K147" s="60">
        <v>0</v>
      </c>
      <c r="L147" s="60">
        <v>0</v>
      </c>
      <c r="M147" s="60">
        <v>0</v>
      </c>
      <c r="N147" s="60">
        <v>0</v>
      </c>
      <c r="O147" s="60">
        <v>-32</v>
      </c>
      <c r="P147" s="60">
        <v>-32</v>
      </c>
      <c r="Q147" s="61"/>
      <c r="R147" s="61"/>
      <c r="S147" s="59" t="s">
        <v>280</v>
      </c>
      <c r="U147" s="53"/>
      <c r="V147" s="53"/>
      <c r="W147" s="53"/>
      <c r="X147" s="53"/>
      <c r="Y147" s="53"/>
      <c r="Z147" s="53"/>
      <c r="AA147" s="53"/>
      <c r="AB147" s="53"/>
      <c r="AC147" s="53"/>
      <c r="AD147" s="53"/>
      <c r="AE147" s="53"/>
      <c r="AF147" s="53"/>
      <c r="AG147" s="53"/>
    </row>
    <row r="148" spans="2:33" ht="15" customHeight="1" x14ac:dyDescent="0.25">
      <c r="B148" s="135" t="str">
        <f>HYPERLINK("https://www.pbo.gov.au/elections/2025-general-election/2025-election-commitments-costings/national-child-sex-offender-register-one-year-trial", "ECR-2025-2319")</f>
        <v>ECR-2025-2319</v>
      </c>
      <c r="C148" s="59" t="s">
        <v>136</v>
      </c>
      <c r="D148" s="60">
        <v>-21.3</v>
      </c>
      <c r="E148" s="60">
        <v>0</v>
      </c>
      <c r="F148" s="60">
        <v>0</v>
      </c>
      <c r="G148" s="60">
        <v>0</v>
      </c>
      <c r="H148" s="60">
        <v>0</v>
      </c>
      <c r="I148" s="60">
        <v>0</v>
      </c>
      <c r="J148" s="60">
        <v>0</v>
      </c>
      <c r="K148" s="60">
        <v>0</v>
      </c>
      <c r="L148" s="60">
        <v>0</v>
      </c>
      <c r="M148" s="60">
        <v>0</v>
      </c>
      <c r="N148" s="60">
        <v>0</v>
      </c>
      <c r="O148" s="60">
        <v>-21.3</v>
      </c>
      <c r="P148" s="60">
        <v>-21.3</v>
      </c>
      <c r="Q148" s="64"/>
      <c r="R148" s="64"/>
      <c r="S148" s="59" t="s">
        <v>281</v>
      </c>
      <c r="U148" s="53"/>
      <c r="V148" s="53"/>
      <c r="W148" s="53"/>
      <c r="X148" s="53"/>
      <c r="Y148" s="53"/>
      <c r="Z148" s="53"/>
      <c r="AA148" s="53"/>
      <c r="AB148" s="53"/>
      <c r="AC148" s="53"/>
      <c r="AD148" s="53"/>
      <c r="AE148" s="53"/>
      <c r="AF148" s="53"/>
      <c r="AG148" s="53"/>
    </row>
    <row r="149" spans="2:33" ht="15" customHeight="1" x14ac:dyDescent="0.25">
      <c r="B149" s="135" t="str">
        <f>HYPERLINK("https://www.pbo.gov.au/elections/2025-general-election/2025-election-commitments-costings/national-domestic-violence-register", "ECR-2025-2394")</f>
        <v>ECR-2025-2394</v>
      </c>
      <c r="C149" s="59" t="s">
        <v>227</v>
      </c>
      <c r="D149" s="60">
        <v>-26.3</v>
      </c>
      <c r="E149" s="60">
        <v>-78.099999999999994</v>
      </c>
      <c r="F149" s="60">
        <v>-23.5</v>
      </c>
      <c r="G149" s="60">
        <v>-8.6</v>
      </c>
      <c r="H149" s="60">
        <v>-1.1000000000000001</v>
      </c>
      <c r="I149" s="60">
        <v>-1.1000000000000001</v>
      </c>
      <c r="J149" s="60">
        <v>0</v>
      </c>
      <c r="K149" s="60">
        <v>0</v>
      </c>
      <c r="L149" s="60">
        <v>0</v>
      </c>
      <c r="M149" s="60">
        <v>0</v>
      </c>
      <c r="N149" s="60">
        <v>0</v>
      </c>
      <c r="O149" s="60">
        <v>-136.5</v>
      </c>
      <c r="P149" s="60">
        <v>-138.69999999999999</v>
      </c>
      <c r="Q149" s="64"/>
      <c r="R149" s="64"/>
      <c r="S149" s="59" t="s">
        <v>266</v>
      </c>
      <c r="U149" s="53"/>
      <c r="V149" s="53"/>
      <c r="W149" s="53"/>
      <c r="X149" s="53"/>
      <c r="Y149" s="53"/>
      <c r="Z149" s="53"/>
      <c r="AA149" s="53"/>
      <c r="AB149" s="53"/>
      <c r="AC149" s="53"/>
      <c r="AD149" s="53"/>
      <c r="AE149" s="53"/>
      <c r="AF149" s="53"/>
      <c r="AG149" s="53"/>
    </row>
    <row r="150" spans="2:33" ht="15" customHeight="1" x14ac:dyDescent="0.25">
      <c r="B150" s="135" t="str">
        <f>HYPERLINK("https://www.pbo.gov.au/elections/2025-general-election/2025-election-commitments-costings/national-higher-education-code-prevent-and-respond-anti-semitism", "ECR-2025-2149")</f>
        <v>ECR-2025-2149</v>
      </c>
      <c r="C150" s="59" t="s">
        <v>348</v>
      </c>
      <c r="D150" s="60">
        <v>-8.1</v>
      </c>
      <c r="E150" s="60">
        <v>-3.6</v>
      </c>
      <c r="F150" s="60">
        <v>-3.7</v>
      </c>
      <c r="G150" s="60">
        <v>-3.8</v>
      </c>
      <c r="H150" s="60">
        <v>-3.9</v>
      </c>
      <c r="I150" s="60">
        <v>-4</v>
      </c>
      <c r="J150" s="60">
        <v>-4.0999999999999996</v>
      </c>
      <c r="K150" s="60">
        <v>-4.2</v>
      </c>
      <c r="L150" s="60">
        <v>-4.3</v>
      </c>
      <c r="M150" s="60">
        <v>-4.4000000000000004</v>
      </c>
      <c r="N150" s="60">
        <v>-4.5</v>
      </c>
      <c r="O150" s="60">
        <v>-19.2</v>
      </c>
      <c r="P150" s="60">
        <v>-48.6</v>
      </c>
      <c r="Q150" s="64"/>
      <c r="R150" s="64"/>
      <c r="S150" s="59" t="s">
        <v>261</v>
      </c>
      <c r="U150" s="53"/>
      <c r="V150" s="53"/>
      <c r="W150" s="53"/>
      <c r="X150" s="53"/>
      <c r="Y150" s="53"/>
      <c r="Z150" s="53"/>
      <c r="AA150" s="53"/>
      <c r="AB150" s="53"/>
      <c r="AC150" s="53"/>
      <c r="AD150" s="53"/>
      <c r="AE150" s="53"/>
      <c r="AF150" s="53"/>
      <c r="AG150" s="53"/>
    </row>
    <row r="151" spans="2:33" ht="15" customHeight="1" x14ac:dyDescent="0.25">
      <c r="B151" s="135" t="str">
        <f>HYPERLINK("https://www.pbo.gov.au/elections/2025-general-election/2025-election-commitments-costings/national-leadership-knife-and-youth-crime", "ECR-2025-2851")</f>
        <v>ECR-2025-2851</v>
      </c>
      <c r="C151" s="59" t="s">
        <v>349</v>
      </c>
      <c r="D151" s="60">
        <v>-18.100000000000001</v>
      </c>
      <c r="E151" s="60">
        <v>-11.1</v>
      </c>
      <c r="F151" s="60">
        <v>-0.1</v>
      </c>
      <c r="G151" s="60">
        <v>-0.3</v>
      </c>
      <c r="H151" s="60">
        <v>-0.4</v>
      </c>
      <c r="I151" s="60">
        <v>-0.4</v>
      </c>
      <c r="J151" s="60">
        <v>-0.4</v>
      </c>
      <c r="K151" s="60">
        <v>-0.4</v>
      </c>
      <c r="L151" s="60">
        <v>-0.4</v>
      </c>
      <c r="M151" s="60">
        <v>-0.5</v>
      </c>
      <c r="N151" s="60">
        <v>-0.5</v>
      </c>
      <c r="O151" s="60">
        <v>-29.6</v>
      </c>
      <c r="P151" s="60">
        <v>-32.6</v>
      </c>
      <c r="Q151" s="64"/>
      <c r="R151" s="64"/>
      <c r="S151" s="59" t="s">
        <v>261</v>
      </c>
      <c r="U151" s="53"/>
      <c r="V151" s="53"/>
      <c r="W151" s="53"/>
      <c r="X151" s="53"/>
      <c r="Y151" s="53"/>
      <c r="Z151" s="53"/>
      <c r="AA151" s="53"/>
      <c r="AB151" s="53"/>
      <c r="AC151" s="53"/>
      <c r="AD151" s="53"/>
      <c r="AE151" s="53"/>
      <c r="AF151" s="53"/>
      <c r="AG151" s="53"/>
    </row>
    <row r="152" spans="2:33" ht="15" customHeight="1" x14ac:dyDescent="0.25">
      <c r="B152" s="59" t="s">
        <v>103</v>
      </c>
      <c r="C152" s="59" t="s">
        <v>404</v>
      </c>
      <c r="D152" s="60">
        <v>0</v>
      </c>
      <c r="E152" s="60">
        <v>0</v>
      </c>
      <c r="F152" s="60">
        <v>0</v>
      </c>
      <c r="G152" s="60">
        <v>0</v>
      </c>
      <c r="H152" s="60">
        <v>0</v>
      </c>
      <c r="I152" s="60">
        <v>0</v>
      </c>
      <c r="J152" s="60">
        <v>0</v>
      </c>
      <c r="K152" s="60">
        <v>0</v>
      </c>
      <c r="L152" s="60">
        <v>0</v>
      </c>
      <c r="M152" s="60">
        <v>0</v>
      </c>
      <c r="N152" s="60">
        <v>0</v>
      </c>
      <c r="O152" s="60">
        <v>0</v>
      </c>
      <c r="P152" s="60">
        <v>0</v>
      </c>
      <c r="Q152" s="64"/>
      <c r="R152" s="64"/>
      <c r="S152" s="59" t="s">
        <v>282</v>
      </c>
      <c r="U152" s="53"/>
      <c r="V152" s="53"/>
      <c r="W152" s="53"/>
      <c r="X152" s="53"/>
      <c r="Y152" s="53"/>
      <c r="Z152" s="53"/>
      <c r="AA152" s="53"/>
      <c r="AB152" s="53"/>
      <c r="AC152" s="53"/>
      <c r="AD152" s="53"/>
      <c r="AE152" s="53"/>
      <c r="AF152" s="53"/>
      <c r="AG152" s="53"/>
    </row>
    <row r="153" spans="2:33" ht="15" customHeight="1" x14ac:dyDescent="0.25">
      <c r="B153" s="135" t="str">
        <f>HYPERLINK("https://www.pbo.gov.au/elections/2025-general-election/2025-election-commitments-costings/new-drug-enforcement-taskforce-states-and-territories", "ECR-2025-2240")</f>
        <v>ECR-2025-2240</v>
      </c>
      <c r="C153" s="59" t="s">
        <v>350</v>
      </c>
      <c r="D153" s="60">
        <v>-86.1</v>
      </c>
      <c r="E153" s="60">
        <v>-88.3</v>
      </c>
      <c r="F153" s="60">
        <v>-89.7</v>
      </c>
      <c r="G153" s="60">
        <v>-91.3</v>
      </c>
      <c r="H153" s="60">
        <v>0</v>
      </c>
      <c r="I153" s="60">
        <v>0</v>
      </c>
      <c r="J153" s="60">
        <v>0</v>
      </c>
      <c r="K153" s="60">
        <v>0</v>
      </c>
      <c r="L153" s="60">
        <v>0</v>
      </c>
      <c r="M153" s="60">
        <v>0</v>
      </c>
      <c r="N153" s="60">
        <v>0</v>
      </c>
      <c r="O153" s="60">
        <v>-355.4</v>
      </c>
      <c r="P153" s="60">
        <v>-355.4</v>
      </c>
      <c r="Q153" s="64"/>
      <c r="R153" s="64"/>
      <c r="S153" s="59" t="s">
        <v>263</v>
      </c>
      <c r="U153" s="53"/>
      <c r="V153" s="53"/>
      <c r="W153" s="53"/>
      <c r="X153" s="53"/>
      <c r="Y153" s="53"/>
      <c r="Z153" s="53"/>
      <c r="AA153" s="53"/>
      <c r="AB153" s="53"/>
      <c r="AC153" s="53"/>
      <c r="AD153" s="53"/>
      <c r="AE153" s="53"/>
      <c r="AF153" s="53"/>
      <c r="AG153" s="53"/>
    </row>
    <row r="154" spans="2:33" ht="15" customHeight="1" x14ac:dyDescent="0.25">
      <c r="B154" s="59" t="s">
        <v>105</v>
      </c>
      <c r="C154" s="59" t="s">
        <v>405</v>
      </c>
      <c r="D154" s="60">
        <v>0</v>
      </c>
      <c r="E154" s="60">
        <v>0</v>
      </c>
      <c r="F154" s="60">
        <v>0</v>
      </c>
      <c r="G154" s="60">
        <v>0</v>
      </c>
      <c r="H154" s="60">
        <v>0</v>
      </c>
      <c r="I154" s="60">
        <v>0</v>
      </c>
      <c r="J154" s="60">
        <v>0</v>
      </c>
      <c r="K154" s="60">
        <v>0</v>
      </c>
      <c r="L154" s="60">
        <v>0</v>
      </c>
      <c r="M154" s="60">
        <v>0</v>
      </c>
      <c r="N154" s="60">
        <v>0</v>
      </c>
      <c r="O154" s="60">
        <v>0</v>
      </c>
      <c r="P154" s="60">
        <v>0</v>
      </c>
      <c r="Q154" s="64"/>
      <c r="R154" s="64"/>
      <c r="S154" s="59" t="s">
        <v>283</v>
      </c>
      <c r="U154" s="53"/>
      <c r="V154" s="53"/>
      <c r="W154" s="53"/>
      <c r="X154" s="53"/>
      <c r="Y154" s="53"/>
      <c r="Z154" s="53"/>
      <c r="AA154" s="53"/>
      <c r="AB154" s="53"/>
      <c r="AC154" s="53"/>
      <c r="AD154" s="53"/>
      <c r="AE154" s="53"/>
      <c r="AF154" s="53"/>
      <c r="AG154" s="53"/>
    </row>
    <row r="155" spans="2:33" ht="15" customHeight="1" x14ac:dyDescent="0.25">
      <c r="B155" s="135" t="str">
        <f>HYPERLINK("https://www.pbo.gov.au/elections/2025-general-election/2025-election-commitments-costings/Oceans%20IQ%20%E2%80%93%20supporting%20marine%20education", "ECR-2025-2403")</f>
        <v>ECR-2025-2403</v>
      </c>
      <c r="C155" s="59" t="s">
        <v>351</v>
      </c>
      <c r="D155" s="60">
        <v>-0.2</v>
      </c>
      <c r="E155" s="60">
        <v>0</v>
      </c>
      <c r="F155" s="60">
        <v>0</v>
      </c>
      <c r="G155" s="60">
        <v>0</v>
      </c>
      <c r="H155" s="60">
        <v>0</v>
      </c>
      <c r="I155" s="60">
        <v>0</v>
      </c>
      <c r="J155" s="60">
        <v>0</v>
      </c>
      <c r="K155" s="60">
        <v>0</v>
      </c>
      <c r="L155" s="60">
        <v>0</v>
      </c>
      <c r="M155" s="60">
        <v>0</v>
      </c>
      <c r="N155" s="60">
        <v>0</v>
      </c>
      <c r="O155" s="60">
        <v>-0.2</v>
      </c>
      <c r="P155" s="60">
        <v>-0.2</v>
      </c>
      <c r="Q155" s="64"/>
      <c r="R155" s="64"/>
      <c r="S155" s="59" t="s">
        <v>264</v>
      </c>
      <c r="U155" s="53"/>
      <c r="V155" s="53"/>
      <c r="W155" s="53"/>
      <c r="X155" s="53"/>
      <c r="Y155" s="53"/>
      <c r="Z155" s="53"/>
      <c r="AA155" s="53"/>
      <c r="AB155" s="53"/>
      <c r="AC155" s="53"/>
      <c r="AD155" s="53"/>
      <c r="AE155" s="53"/>
      <c r="AF155" s="53"/>
      <c r="AG155" s="53"/>
    </row>
    <row r="156" spans="2:33" ht="15" customHeight="1" x14ac:dyDescent="0.25">
      <c r="B156" s="135" t="str">
        <f>HYPERLINK("https://www.pbo.gov.au/elections/2025-general-election/2025-election-commitments-costings/Official-Development-Assistance-efficiencies-excluding-Pacific-Indonesia-and-Timor-Leste", "ECR-2025-2392")</f>
        <v>ECR-2025-2392</v>
      </c>
      <c r="C156" s="59" t="s">
        <v>352</v>
      </c>
      <c r="D156" s="60">
        <v>108</v>
      </c>
      <c r="E156" s="60">
        <v>230</v>
      </c>
      <c r="F156" s="60">
        <v>235</v>
      </c>
      <c r="G156" s="60">
        <v>241</v>
      </c>
      <c r="H156" s="60">
        <v>247</v>
      </c>
      <c r="I156" s="60">
        <v>253</v>
      </c>
      <c r="J156" s="60">
        <v>260</v>
      </c>
      <c r="K156" s="60">
        <v>266</v>
      </c>
      <c r="L156" s="60">
        <v>273</v>
      </c>
      <c r="M156" s="60">
        <v>280</v>
      </c>
      <c r="N156" s="60">
        <v>287</v>
      </c>
      <c r="O156" s="60">
        <v>814</v>
      </c>
      <c r="P156" s="60">
        <v>2680</v>
      </c>
      <c r="Q156" s="64"/>
      <c r="R156" s="64"/>
      <c r="S156" s="59" t="s">
        <v>261</v>
      </c>
      <c r="U156" s="53"/>
      <c r="V156" s="53"/>
      <c r="W156" s="53"/>
      <c r="X156" s="53"/>
      <c r="Y156" s="53"/>
      <c r="Z156" s="53"/>
      <c r="AA156" s="53"/>
      <c r="AB156" s="53"/>
      <c r="AC156" s="53"/>
      <c r="AD156" s="53"/>
      <c r="AE156" s="53"/>
      <c r="AF156" s="53"/>
      <c r="AG156" s="53"/>
    </row>
    <row r="157" spans="2:33" ht="15" customHeight="1" x14ac:dyDescent="0.25">
      <c r="B157" s="135" t="str">
        <f>HYPERLINK("https://www.pbo.gov.au/elections/2025-general-election/2025-election-commitments-costings/Overseas%20eligibility%20for%20social%20services%20payments%20%E2%80%93%20reduce%20to%20four%20weeks", "ECR-2025-2621")</f>
        <v>ECR-2025-2621</v>
      </c>
      <c r="C157" s="59" t="s">
        <v>433</v>
      </c>
      <c r="D157" s="60">
        <v>17.399999999999999</v>
      </c>
      <c r="E157" s="60">
        <v>18.2</v>
      </c>
      <c r="F157" s="60">
        <v>18.899999999999999</v>
      </c>
      <c r="G157" s="60">
        <v>19.5</v>
      </c>
      <c r="H157" s="60">
        <v>20.3</v>
      </c>
      <c r="I157" s="60">
        <v>21.1</v>
      </c>
      <c r="J157" s="60">
        <v>22</v>
      </c>
      <c r="K157" s="60">
        <v>22.6</v>
      </c>
      <c r="L157" s="60">
        <v>23.6</v>
      </c>
      <c r="M157" s="60">
        <v>24.6</v>
      </c>
      <c r="N157" s="60">
        <v>25.6</v>
      </c>
      <c r="O157" s="60">
        <v>74.099999999999994</v>
      </c>
      <c r="P157" s="60">
        <v>234.1</v>
      </c>
      <c r="Q157" s="64"/>
      <c r="R157" s="64"/>
      <c r="S157" s="59" t="s">
        <v>261</v>
      </c>
      <c r="U157" s="53"/>
      <c r="V157" s="53"/>
      <c r="W157" s="53"/>
      <c r="X157" s="53"/>
      <c r="Y157" s="53"/>
      <c r="Z157" s="53"/>
      <c r="AA157" s="53"/>
      <c r="AB157" s="53"/>
      <c r="AC157" s="53"/>
      <c r="AD157" s="53"/>
      <c r="AE157" s="53"/>
      <c r="AF157" s="53"/>
      <c r="AG157" s="53"/>
    </row>
    <row r="158" spans="2:33" ht="15" customHeight="1" x14ac:dyDescent="0.25">
      <c r="B158" s="135" t="str">
        <f>HYPERLINK("https://www.pbo.gov.au/elections/2025-general-election/2025-election-commitments-costings/ozfish-supporting-habitat-restoration", "ECR-2025-2195")</f>
        <v>ECR-2025-2195</v>
      </c>
      <c r="C158" s="59" t="s">
        <v>353</v>
      </c>
      <c r="D158" s="60">
        <v>-1.5</v>
      </c>
      <c r="E158" s="60">
        <v>-1.5</v>
      </c>
      <c r="F158" s="60">
        <v>-1.5</v>
      </c>
      <c r="G158" s="60">
        <v>-1.5</v>
      </c>
      <c r="H158" s="60">
        <v>0</v>
      </c>
      <c r="I158" s="60">
        <v>0</v>
      </c>
      <c r="J158" s="60">
        <v>0</v>
      </c>
      <c r="K158" s="60">
        <v>0</v>
      </c>
      <c r="L158" s="60">
        <v>0</v>
      </c>
      <c r="M158" s="60">
        <v>0</v>
      </c>
      <c r="N158" s="60">
        <v>0</v>
      </c>
      <c r="O158" s="60">
        <v>-6</v>
      </c>
      <c r="P158" s="60">
        <v>-6</v>
      </c>
      <c r="Q158" s="64"/>
      <c r="R158" s="64"/>
      <c r="S158" s="59" t="s">
        <v>284</v>
      </c>
      <c r="U158" s="53"/>
      <c r="V158" s="53"/>
      <c r="W158" s="53"/>
      <c r="X158" s="53"/>
      <c r="Y158" s="53"/>
      <c r="Z158" s="53"/>
      <c r="AA158" s="53"/>
      <c r="AB158" s="53"/>
      <c r="AC158" s="53"/>
      <c r="AD158" s="53"/>
      <c r="AE158" s="53"/>
      <c r="AF158" s="53"/>
      <c r="AG158" s="53"/>
    </row>
    <row r="159" spans="2:33" ht="15" customHeight="1" x14ac:dyDescent="0.25">
      <c r="B159" s="135" t="str">
        <f>HYPERLINK("https://www.pbo.gov.au/elections/2025-general-election/2025-election-commitments-costings/Recycling%20mobile%20phones%20to%20assist%20victims%20of%20domestic%20violence", "ECR-2025-2047")</f>
        <v>ECR-2025-2047</v>
      </c>
      <c r="C159" s="59" t="s">
        <v>354</v>
      </c>
      <c r="D159" s="60">
        <v>-0.5</v>
      </c>
      <c r="E159" s="60">
        <v>-0.5</v>
      </c>
      <c r="F159" s="60">
        <v>-0.5</v>
      </c>
      <c r="G159" s="60">
        <v>-0.5</v>
      </c>
      <c r="H159" s="60">
        <v>0</v>
      </c>
      <c r="I159" s="60">
        <v>0</v>
      </c>
      <c r="J159" s="60">
        <v>0</v>
      </c>
      <c r="K159" s="60">
        <v>0</v>
      </c>
      <c r="L159" s="60">
        <v>0</v>
      </c>
      <c r="M159" s="60">
        <v>0</v>
      </c>
      <c r="N159" s="60">
        <v>0</v>
      </c>
      <c r="O159" s="60">
        <v>-2</v>
      </c>
      <c r="P159" s="60">
        <v>-2</v>
      </c>
      <c r="Q159" s="64"/>
      <c r="R159" s="64"/>
      <c r="S159" s="59" t="s">
        <v>285</v>
      </c>
      <c r="U159" s="53"/>
      <c r="V159" s="53"/>
      <c r="W159" s="53"/>
      <c r="X159" s="53"/>
      <c r="Y159" s="53"/>
      <c r="Z159" s="53"/>
      <c r="AA159" s="53"/>
      <c r="AB159" s="53"/>
      <c r="AC159" s="53"/>
      <c r="AD159" s="53"/>
      <c r="AE159" s="53"/>
      <c r="AF159" s="53"/>
      <c r="AG159" s="53"/>
    </row>
    <row r="160" spans="2:33" ht="15" customHeight="1" x14ac:dyDescent="0.25">
      <c r="B160" s="135" t="str">
        <f>HYPERLINK("https://www.pbo.gov.au/elections/2025-general-election/2025-election-commitments-costings/Redtails%20Pinktails%20Right%20Tracks%20program", "ECR-2025-2632")</f>
        <v>ECR-2025-2632</v>
      </c>
      <c r="C160" s="59" t="s">
        <v>355</v>
      </c>
      <c r="D160" s="60">
        <v>-2.8</v>
      </c>
      <c r="E160" s="60">
        <v>-2.8</v>
      </c>
      <c r="F160" s="60">
        <v>-2.8</v>
      </c>
      <c r="G160" s="60">
        <v>-2.8</v>
      </c>
      <c r="H160" s="60">
        <v>-2.8</v>
      </c>
      <c r="I160" s="60">
        <v>-2.8</v>
      </c>
      <c r="J160" s="60">
        <v>-2.8</v>
      </c>
      <c r="K160" s="60">
        <v>-2.8</v>
      </c>
      <c r="L160" s="60">
        <v>-2.8</v>
      </c>
      <c r="M160" s="60">
        <v>-2.8</v>
      </c>
      <c r="N160" s="60">
        <v>-2.8</v>
      </c>
      <c r="O160" s="60">
        <v>-11.2</v>
      </c>
      <c r="P160" s="60">
        <v>-30.8</v>
      </c>
      <c r="Q160" s="64"/>
      <c r="R160" s="64"/>
      <c r="S160" s="59" t="s">
        <v>286</v>
      </c>
      <c r="U160" s="53"/>
      <c r="V160" s="53"/>
      <c r="W160" s="53"/>
      <c r="X160" s="53"/>
      <c r="Y160" s="53"/>
      <c r="Z160" s="53"/>
      <c r="AA160" s="53"/>
      <c r="AB160" s="53"/>
      <c r="AC160" s="53"/>
      <c r="AD160" s="53"/>
      <c r="AE160" s="53"/>
      <c r="AF160" s="53"/>
      <c r="AG160" s="53"/>
    </row>
    <row r="161" spans="2:33" ht="15" customHeight="1" x14ac:dyDescent="0.25">
      <c r="B161" s="135" t="str">
        <f>HYPERLINK("https://www.pbo.gov.au/elections/2025-general-election/2025-election-commitments-costings/Royal%20Commission%20into%20sexual%20abuse%20in%20Indigenous%20communities", "ECR-2025-2010")</f>
        <v>ECR-2025-2010</v>
      </c>
      <c r="C161" s="59" t="s">
        <v>356</v>
      </c>
      <c r="D161" s="60">
        <v>-46.4</v>
      </c>
      <c r="E161" s="60">
        <v>-95.2</v>
      </c>
      <c r="F161" s="60">
        <v>0</v>
      </c>
      <c r="G161" s="60">
        <v>0</v>
      </c>
      <c r="H161" s="60">
        <v>0</v>
      </c>
      <c r="I161" s="60">
        <v>0</v>
      </c>
      <c r="J161" s="60">
        <v>0</v>
      </c>
      <c r="K161" s="60">
        <v>0</v>
      </c>
      <c r="L161" s="60">
        <v>0</v>
      </c>
      <c r="M161" s="60">
        <v>0</v>
      </c>
      <c r="N161" s="60">
        <v>0</v>
      </c>
      <c r="O161" s="60">
        <v>-141.6</v>
      </c>
      <c r="P161" s="60">
        <v>-141.6</v>
      </c>
      <c r="Q161" s="64"/>
      <c r="R161" s="64"/>
      <c r="S161" s="59" t="s">
        <v>266</v>
      </c>
      <c r="U161" s="53"/>
      <c r="V161" s="53"/>
      <c r="W161" s="53"/>
      <c r="X161" s="53"/>
      <c r="Y161" s="53"/>
      <c r="Z161" s="53"/>
      <c r="AA161" s="53"/>
      <c r="AB161" s="53"/>
      <c r="AC161" s="53"/>
      <c r="AD161" s="53"/>
      <c r="AE161" s="53"/>
      <c r="AF161" s="53"/>
      <c r="AG161" s="53"/>
    </row>
    <row r="162" spans="2:33" ht="15" customHeight="1" x14ac:dyDescent="0.25">
      <c r="B162" s="135" t="str">
        <f>HYPERLINK("https://www.pbo.gov.au/elections/2025-general-election/2025-election-commitments-costings/safety-net-family-and-domestic-violence-helpline-support", "ECR-2025-2292")</f>
        <v>ECR-2025-2292</v>
      </c>
      <c r="C162" s="59" t="s">
        <v>357</v>
      </c>
      <c r="D162" s="60">
        <v>-4.2</v>
      </c>
      <c r="E162" s="60">
        <v>-1.1000000000000001</v>
      </c>
      <c r="F162" s="60">
        <v>-1.2</v>
      </c>
      <c r="G162" s="60">
        <v>-1.2</v>
      </c>
      <c r="H162" s="60">
        <v>-1.2</v>
      </c>
      <c r="I162" s="60">
        <v>-1.3</v>
      </c>
      <c r="J162" s="60">
        <v>-1.3</v>
      </c>
      <c r="K162" s="60">
        <v>-1.3</v>
      </c>
      <c r="L162" s="60">
        <v>-1.4</v>
      </c>
      <c r="M162" s="60">
        <v>-1.4</v>
      </c>
      <c r="N162" s="60">
        <v>-1.4</v>
      </c>
      <c r="O162" s="60">
        <v>-7.7</v>
      </c>
      <c r="P162" s="60">
        <v>-17</v>
      </c>
      <c r="Q162" s="64"/>
      <c r="R162" s="64"/>
      <c r="S162" s="59" t="s">
        <v>266</v>
      </c>
      <c r="U162" s="53"/>
      <c r="V162" s="53"/>
      <c r="W162" s="53"/>
      <c r="X162" s="53"/>
      <c r="Y162" s="53"/>
      <c r="Z162" s="53"/>
      <c r="AA162" s="53"/>
      <c r="AB162" s="53"/>
      <c r="AC162" s="53"/>
      <c r="AD162" s="53"/>
      <c r="AE162" s="53"/>
      <c r="AF162" s="53"/>
      <c r="AG162" s="53"/>
    </row>
    <row r="163" spans="2:33" ht="15" customHeight="1" x14ac:dyDescent="0.25">
      <c r="B163" s="59" t="s">
        <v>107</v>
      </c>
      <c r="C163" s="59" t="s">
        <v>406</v>
      </c>
      <c r="D163" s="60">
        <v>0</v>
      </c>
      <c r="E163" s="60">
        <v>0</v>
      </c>
      <c r="F163" s="60">
        <v>0</v>
      </c>
      <c r="G163" s="60">
        <v>0</v>
      </c>
      <c r="H163" s="60">
        <v>0</v>
      </c>
      <c r="I163" s="60">
        <v>0</v>
      </c>
      <c r="J163" s="60">
        <v>0</v>
      </c>
      <c r="K163" s="60">
        <v>0</v>
      </c>
      <c r="L163" s="60">
        <v>0</v>
      </c>
      <c r="M163" s="60">
        <v>0</v>
      </c>
      <c r="N163" s="60">
        <v>0</v>
      </c>
      <c r="O163" s="60">
        <v>0</v>
      </c>
      <c r="P163" s="60">
        <v>0</v>
      </c>
      <c r="Q163" s="64"/>
      <c r="R163" s="64"/>
      <c r="S163" s="59" t="s">
        <v>261</v>
      </c>
      <c r="U163" s="53"/>
      <c r="V163" s="53"/>
      <c r="W163" s="53"/>
      <c r="X163" s="53"/>
      <c r="Y163" s="53"/>
      <c r="Z163" s="53"/>
      <c r="AA163" s="53"/>
      <c r="AB163" s="53"/>
      <c r="AC163" s="53"/>
      <c r="AD163" s="53"/>
      <c r="AE163" s="53"/>
      <c r="AF163" s="53"/>
      <c r="AG163" s="53"/>
    </row>
    <row r="164" spans="2:33" ht="15" customHeight="1" x14ac:dyDescent="0.25">
      <c r="B164" s="135" t="str">
        <f>HYPERLINK("https://www.pbo.gov.au/elections/2025-general-election/2025-election-commitments-costings/sustainable-funding-crime-stoppers", "ECR-2025-2260")</f>
        <v>ECR-2025-2260</v>
      </c>
      <c r="C164" s="59" t="s">
        <v>434</v>
      </c>
      <c r="D164" s="60">
        <v>-2.5</v>
      </c>
      <c r="E164" s="60">
        <v>-2.5</v>
      </c>
      <c r="F164" s="60">
        <v>-2.5</v>
      </c>
      <c r="G164" s="60">
        <v>0</v>
      </c>
      <c r="H164" s="60">
        <v>0</v>
      </c>
      <c r="I164" s="60">
        <v>0</v>
      </c>
      <c r="J164" s="60">
        <v>0</v>
      </c>
      <c r="K164" s="60">
        <v>0</v>
      </c>
      <c r="L164" s="60">
        <v>0</v>
      </c>
      <c r="M164" s="60">
        <v>0</v>
      </c>
      <c r="N164" s="60">
        <v>0</v>
      </c>
      <c r="O164" s="60">
        <v>-7.5</v>
      </c>
      <c r="P164" s="60">
        <v>-7.5</v>
      </c>
      <c r="Q164" s="64"/>
      <c r="R164" s="64"/>
      <c r="S164" s="59" t="s">
        <v>263</v>
      </c>
      <c r="U164" s="53"/>
      <c r="V164" s="53"/>
      <c r="W164" s="53"/>
      <c r="X164" s="53"/>
      <c r="Y164" s="53"/>
      <c r="Z164" s="53"/>
      <c r="AA164" s="53"/>
      <c r="AB164" s="53"/>
      <c r="AC164" s="53"/>
      <c r="AD164" s="53"/>
      <c r="AE164" s="53"/>
      <c r="AF164" s="53"/>
      <c r="AG164" s="53"/>
    </row>
    <row r="165" spans="2:33" ht="15" customHeight="1" x14ac:dyDescent="0.25">
      <c r="B165" s="135" t="str">
        <f>HYPERLINK("https://www.pbo.gov.au/elections/2025-general-election/2025-election-commitments-costings/Unmarked%20War%20Graves%20Grants%20Program", "ECR-2025-2864")</f>
        <v>ECR-2025-2864</v>
      </c>
      <c r="C165" s="59" t="s">
        <v>358</v>
      </c>
      <c r="D165" s="60">
        <v>-1</v>
      </c>
      <c r="E165" s="60">
        <v>-0.9</v>
      </c>
      <c r="F165" s="60">
        <v>-0.9</v>
      </c>
      <c r="G165" s="60">
        <v>-0.9</v>
      </c>
      <c r="H165" s="60">
        <v>0</v>
      </c>
      <c r="I165" s="60">
        <v>0</v>
      </c>
      <c r="J165" s="60">
        <v>0</v>
      </c>
      <c r="K165" s="60">
        <v>0</v>
      </c>
      <c r="L165" s="60">
        <v>0</v>
      </c>
      <c r="M165" s="60">
        <v>0</v>
      </c>
      <c r="N165" s="60">
        <v>0</v>
      </c>
      <c r="O165" s="60">
        <v>-3.7</v>
      </c>
      <c r="P165" s="60">
        <v>-3.7</v>
      </c>
      <c r="Q165" s="64"/>
      <c r="R165" s="64"/>
      <c r="S165" s="59" t="s">
        <v>287</v>
      </c>
      <c r="U165" s="53"/>
      <c r="V165" s="53"/>
      <c r="W165" s="53"/>
      <c r="X165" s="53"/>
      <c r="Y165" s="53"/>
      <c r="Z165" s="53"/>
      <c r="AA165" s="53"/>
      <c r="AB165" s="53"/>
      <c r="AC165" s="53"/>
      <c r="AD165" s="53"/>
      <c r="AE165" s="53"/>
      <c r="AF165" s="53"/>
      <c r="AG165" s="53"/>
    </row>
    <row r="166" spans="2:33" ht="15" customHeight="1" x14ac:dyDescent="0.25">
      <c r="B166" s="62" t="s">
        <v>379</v>
      </c>
      <c r="C166" s="62"/>
      <c r="D166" s="63">
        <v>-479.2</v>
      </c>
      <c r="E166" s="63">
        <v>-3171.5</v>
      </c>
      <c r="F166" s="63">
        <v>-3860</v>
      </c>
      <c r="G166" s="63">
        <v>-5633.6</v>
      </c>
      <c r="H166" s="63">
        <v>-7724.9</v>
      </c>
      <c r="I166" s="63">
        <v>-11311.6</v>
      </c>
      <c r="J166" s="63">
        <v>-15246.1</v>
      </c>
      <c r="K166" s="63">
        <v>-20213</v>
      </c>
      <c r="L166" s="63">
        <v>-25299.4</v>
      </c>
      <c r="M166" s="63">
        <v>-30486</v>
      </c>
      <c r="N166" s="63">
        <v>-32003</v>
      </c>
      <c r="O166" s="63">
        <v>-13144.3</v>
      </c>
      <c r="P166" s="63">
        <v>-155428.20000000001</v>
      </c>
      <c r="Q166" s="64" t="s">
        <v>9</v>
      </c>
      <c r="R166" s="64"/>
      <c r="S166" s="62" t="s">
        <v>10</v>
      </c>
      <c r="U166" s="53"/>
      <c r="V166" s="53"/>
      <c r="W166" s="53"/>
      <c r="X166" s="53"/>
      <c r="Y166" s="53"/>
      <c r="Z166" s="53"/>
      <c r="AA166" s="53"/>
      <c r="AB166" s="53"/>
      <c r="AC166" s="53"/>
      <c r="AD166" s="53"/>
      <c r="AE166" s="53"/>
      <c r="AF166" s="53"/>
      <c r="AG166" s="53"/>
    </row>
    <row r="167" spans="2:33" ht="15" customHeight="1" x14ac:dyDescent="0.25">
      <c r="B167" s="81" t="s">
        <v>101</v>
      </c>
      <c r="C167" s="3"/>
      <c r="D167" s="55" t="s">
        <v>10</v>
      </c>
      <c r="E167" s="55" t="s">
        <v>10</v>
      </c>
      <c r="F167" s="55" t="s">
        <v>10</v>
      </c>
      <c r="G167" s="55" t="s">
        <v>10</v>
      </c>
      <c r="H167" s="55" t="s">
        <v>10</v>
      </c>
      <c r="I167" s="55" t="s">
        <v>10</v>
      </c>
      <c r="J167" s="55" t="s">
        <v>10</v>
      </c>
      <c r="K167" s="55" t="s">
        <v>10</v>
      </c>
      <c r="L167" s="55" t="s">
        <v>10</v>
      </c>
      <c r="M167" s="55" t="s">
        <v>10</v>
      </c>
      <c r="N167" s="55" t="s">
        <v>10</v>
      </c>
      <c r="O167" s="55" t="s">
        <v>10</v>
      </c>
      <c r="P167" s="55" t="s">
        <v>10</v>
      </c>
      <c r="Q167" s="4"/>
      <c r="R167" s="4"/>
      <c r="S167" s="3" t="s">
        <v>10</v>
      </c>
      <c r="U167" s="53"/>
      <c r="V167" s="53"/>
      <c r="W167" s="53"/>
      <c r="X167" s="53"/>
      <c r="Y167" s="53"/>
      <c r="Z167" s="53"/>
      <c r="AA167" s="53"/>
      <c r="AB167" s="53"/>
      <c r="AC167" s="53"/>
      <c r="AD167" s="53"/>
      <c r="AE167" s="53"/>
      <c r="AF167" s="53"/>
      <c r="AG167" s="53"/>
    </row>
    <row r="168" spans="2:33" ht="15" customHeight="1" x14ac:dyDescent="0.25">
      <c r="B168" s="135" t="str">
        <f>HYPERLINK("https://www.pbo.gov.au/elections/2025-general-election/2025-election-commitments-costings/1800MEDICARE-establishment", "ECR-2025-2235")</f>
        <v>ECR-2025-2235</v>
      </c>
      <c r="C168" s="59" t="s">
        <v>213</v>
      </c>
      <c r="D168" s="60">
        <v>-60.8</v>
      </c>
      <c r="E168" s="60">
        <v>-55.6</v>
      </c>
      <c r="F168" s="60">
        <v>-45.8</v>
      </c>
      <c r="G168" s="60">
        <v>-46.5</v>
      </c>
      <c r="H168" s="60">
        <v>-48.8</v>
      </c>
      <c r="I168" s="60">
        <v>-51.1</v>
      </c>
      <c r="J168" s="60">
        <v>-53.5</v>
      </c>
      <c r="K168" s="60">
        <v>-56</v>
      </c>
      <c r="L168" s="60">
        <v>-58.7</v>
      </c>
      <c r="M168" s="60">
        <v>-61.5</v>
      </c>
      <c r="N168" s="60">
        <v>-64.5</v>
      </c>
      <c r="O168" s="60">
        <v>-208.7</v>
      </c>
      <c r="P168" s="60">
        <v>-602.79999999999995</v>
      </c>
      <c r="Q168" s="61"/>
      <c r="R168" s="61"/>
      <c r="S168" s="59" t="s">
        <v>330</v>
      </c>
      <c r="U168" s="53"/>
      <c r="V168" s="53"/>
      <c r="W168" s="53"/>
      <c r="X168" s="53"/>
      <c r="Y168" s="53"/>
      <c r="Z168" s="53"/>
      <c r="AA168" s="53"/>
      <c r="AB168" s="53"/>
      <c r="AC168" s="53"/>
      <c r="AD168" s="53"/>
      <c r="AE168" s="53"/>
      <c r="AF168" s="53"/>
      <c r="AG168" s="53"/>
    </row>
    <row r="169" spans="2:33" ht="15" customHeight="1" x14ac:dyDescent="0.25">
      <c r="B169" s="135" t="str">
        <f>HYPERLINK("https://www.pbo.gov.au/elections/2025-general-election/2025-election-commitments-costings/age-and-veterans-service-pension-work-bonus-double", "ECR-2025-2087")</f>
        <v>ECR-2025-2087</v>
      </c>
      <c r="C169" s="59" t="s">
        <v>435</v>
      </c>
      <c r="D169" s="60">
        <v>-101.6</v>
      </c>
      <c r="E169" s="60">
        <v>-103.9</v>
      </c>
      <c r="F169" s="60">
        <v>-105.2</v>
      </c>
      <c r="G169" s="60">
        <v>-108.8</v>
      </c>
      <c r="H169" s="60">
        <v>-113.2</v>
      </c>
      <c r="I169" s="60">
        <v>-116.7</v>
      </c>
      <c r="J169" s="60">
        <v>-120.3</v>
      </c>
      <c r="K169" s="60">
        <v>-123.6</v>
      </c>
      <c r="L169" s="60">
        <v>-127.8</v>
      </c>
      <c r="M169" s="60">
        <v>-128</v>
      </c>
      <c r="N169" s="60">
        <v>-131</v>
      </c>
      <c r="O169" s="60">
        <v>-419.5</v>
      </c>
      <c r="P169" s="60">
        <v>-1280.0999999999999</v>
      </c>
      <c r="Q169" s="61"/>
      <c r="R169" s="61"/>
      <c r="S169" s="59" t="s">
        <v>261</v>
      </c>
      <c r="U169" s="53"/>
      <c r="V169" s="53"/>
      <c r="W169" s="53"/>
      <c r="X169" s="53"/>
      <c r="Y169" s="53"/>
      <c r="Z169" s="53"/>
      <c r="AA169" s="53"/>
      <c r="AB169" s="53"/>
      <c r="AC169" s="53"/>
      <c r="AD169" s="53"/>
      <c r="AE169" s="53"/>
      <c r="AF169" s="53"/>
      <c r="AG169" s="53"/>
    </row>
    <row r="170" spans="2:33" ht="15" customHeight="1" x14ac:dyDescent="0.25">
      <c r="B170" s="59" t="s">
        <v>126</v>
      </c>
      <c r="C170" s="59" t="s">
        <v>436</v>
      </c>
      <c r="D170" s="60">
        <v>0</v>
      </c>
      <c r="E170" s="60">
        <v>0</v>
      </c>
      <c r="F170" s="60">
        <v>0</v>
      </c>
      <c r="G170" s="60">
        <v>0</v>
      </c>
      <c r="H170" s="60">
        <v>0</v>
      </c>
      <c r="I170" s="60">
        <v>0</v>
      </c>
      <c r="J170" s="60">
        <v>0</v>
      </c>
      <c r="K170" s="60">
        <v>0</v>
      </c>
      <c r="L170" s="60">
        <v>0</v>
      </c>
      <c r="M170" s="60">
        <v>0</v>
      </c>
      <c r="N170" s="60">
        <v>0</v>
      </c>
      <c r="O170" s="60">
        <v>0</v>
      </c>
      <c r="P170" s="60">
        <v>0</v>
      </c>
      <c r="Q170" s="61"/>
      <c r="R170" s="61"/>
      <c r="S170" s="59" t="s">
        <v>331</v>
      </c>
      <c r="U170" s="53"/>
      <c r="V170" s="53"/>
      <c r="W170" s="53"/>
      <c r="X170" s="53"/>
      <c r="Y170" s="53"/>
      <c r="Z170" s="53"/>
      <c r="AA170" s="53"/>
      <c r="AB170" s="53"/>
      <c r="AC170" s="53"/>
      <c r="AD170" s="53"/>
      <c r="AE170" s="53"/>
      <c r="AF170" s="53"/>
      <c r="AG170" s="53"/>
    </row>
    <row r="171" spans="2:33" ht="15" customHeight="1" x14ac:dyDescent="0.25">
      <c r="B171" s="135" t="str">
        <f>HYPERLINK("https://www.pbo.gov.au/elections/2025-general-election/2025-election-commitments-costings/boost-food-relief-charities", "ECR-2025-2387")</f>
        <v>ECR-2025-2387</v>
      </c>
      <c r="C171" s="59" t="s">
        <v>245</v>
      </c>
      <c r="D171" s="60">
        <v>-41.5</v>
      </c>
      <c r="E171" s="60">
        <v>-10.5</v>
      </c>
      <c r="F171" s="60">
        <v>-10.5</v>
      </c>
      <c r="G171" s="60">
        <v>-10.5</v>
      </c>
      <c r="H171" s="60">
        <v>0</v>
      </c>
      <c r="I171" s="60">
        <v>0</v>
      </c>
      <c r="J171" s="60">
        <v>0</v>
      </c>
      <c r="K171" s="60">
        <v>0</v>
      </c>
      <c r="L171" s="60">
        <v>0</v>
      </c>
      <c r="M171" s="60">
        <v>0</v>
      </c>
      <c r="N171" s="60">
        <v>0</v>
      </c>
      <c r="O171" s="60">
        <v>-73</v>
      </c>
      <c r="P171" s="60">
        <v>-73</v>
      </c>
      <c r="Q171" s="61"/>
      <c r="R171" s="61"/>
      <c r="S171" s="59" t="s">
        <v>332</v>
      </c>
      <c r="U171" s="53"/>
      <c r="V171" s="53"/>
      <c r="W171" s="53"/>
      <c r="X171" s="53"/>
      <c r="Y171" s="53"/>
      <c r="Z171" s="53"/>
      <c r="AA171" s="53"/>
      <c r="AB171" s="53"/>
      <c r="AC171" s="53"/>
      <c r="AD171" s="53"/>
      <c r="AE171" s="53"/>
      <c r="AF171" s="53"/>
      <c r="AG171" s="53"/>
    </row>
    <row r="172" spans="2:33" ht="15" customHeight="1" x14ac:dyDescent="0.25">
      <c r="B172" s="135" t="str">
        <f>HYPERLINK("https://www.pbo.gov.au/elections/2025-general-election/2025-election-commitments-costings/childcare-restoring-activity-test", "ECR-2025-2653")</f>
        <v>ECR-2025-2653</v>
      </c>
      <c r="C172" s="59" t="s">
        <v>437</v>
      </c>
      <c r="D172" s="60">
        <v>50.5</v>
      </c>
      <c r="E172" s="60">
        <v>117</v>
      </c>
      <c r="F172" s="60">
        <v>123.4</v>
      </c>
      <c r="G172" s="60">
        <v>129</v>
      </c>
      <c r="H172" s="60">
        <v>135</v>
      </c>
      <c r="I172" s="60">
        <v>142</v>
      </c>
      <c r="J172" s="60">
        <v>149</v>
      </c>
      <c r="K172" s="60">
        <v>155</v>
      </c>
      <c r="L172" s="60">
        <v>162</v>
      </c>
      <c r="M172" s="60">
        <v>169</v>
      </c>
      <c r="N172" s="60">
        <v>175</v>
      </c>
      <c r="O172" s="60">
        <v>419.9</v>
      </c>
      <c r="P172" s="60">
        <v>1506.9</v>
      </c>
      <c r="Q172" s="61"/>
      <c r="R172" s="61"/>
      <c r="S172" s="59" t="s">
        <v>261</v>
      </c>
      <c r="U172" s="53"/>
      <c r="V172" s="53"/>
      <c r="W172" s="53"/>
      <c r="X172" s="53"/>
      <c r="Y172" s="53"/>
      <c r="Z172" s="53"/>
      <c r="AA172" s="53"/>
      <c r="AB172" s="53"/>
      <c r="AC172" s="53"/>
      <c r="AD172" s="53"/>
      <c r="AE172" s="53"/>
      <c r="AF172" s="53"/>
      <c r="AG172" s="53"/>
    </row>
    <row r="173" spans="2:33" ht="15" customHeight="1" x14ac:dyDescent="0.25">
      <c r="B173" s="135" t="str">
        <f>HYPERLINK("https://www.pbo.gov.au/elections/2025-general-election/2025-election-commitments-costings/community-childcare-fund-regional-australia", "ECR-2025-2052")</f>
        <v>ECR-2025-2052</v>
      </c>
      <c r="C173" s="59" t="s">
        <v>438</v>
      </c>
      <c r="D173" s="60">
        <v>-50</v>
      </c>
      <c r="E173" s="60">
        <v>-50</v>
      </c>
      <c r="F173" s="60">
        <v>0</v>
      </c>
      <c r="G173" s="60">
        <v>0</v>
      </c>
      <c r="H173" s="60">
        <v>0</v>
      </c>
      <c r="I173" s="60">
        <v>0</v>
      </c>
      <c r="J173" s="60">
        <v>0</v>
      </c>
      <c r="K173" s="60">
        <v>0</v>
      </c>
      <c r="L173" s="60">
        <v>0</v>
      </c>
      <c r="M173" s="60">
        <v>0</v>
      </c>
      <c r="N173" s="60">
        <v>0</v>
      </c>
      <c r="O173" s="60">
        <v>-100</v>
      </c>
      <c r="P173" s="60">
        <v>-100</v>
      </c>
      <c r="Q173" s="61"/>
      <c r="R173" s="61"/>
      <c r="S173" s="59" t="s">
        <v>261</v>
      </c>
      <c r="U173" s="53"/>
      <c r="V173" s="53"/>
      <c r="W173" s="53"/>
      <c r="X173" s="53"/>
      <c r="Y173" s="53"/>
      <c r="Z173" s="53"/>
      <c r="AA173" s="53"/>
      <c r="AB173" s="53"/>
      <c r="AC173" s="53"/>
      <c r="AD173" s="53"/>
      <c r="AE173" s="53"/>
      <c r="AF173" s="53"/>
      <c r="AG173" s="53"/>
    </row>
    <row r="174" spans="2:33" ht="15" customHeight="1" x14ac:dyDescent="0.25">
      <c r="B174" s="135" t="str">
        <f>HYPERLINK("https://www.pbo.gov.au/elections/2025-general-election/2025-election-commitments-costings/explicit-teaching-accelerator-fund", "ECR-2025-2563")</f>
        <v>ECR-2025-2563</v>
      </c>
      <c r="C174" s="59" t="s">
        <v>189</v>
      </c>
      <c r="D174" s="60">
        <v>-0.5</v>
      </c>
      <c r="E174" s="60">
        <v>-7</v>
      </c>
      <c r="F174" s="60">
        <v>-7</v>
      </c>
      <c r="G174" s="60">
        <v>-6.9</v>
      </c>
      <c r="H174" s="60">
        <v>0</v>
      </c>
      <c r="I174" s="60">
        <v>0</v>
      </c>
      <c r="J174" s="60">
        <v>0</v>
      </c>
      <c r="K174" s="60">
        <v>0</v>
      </c>
      <c r="L174" s="60">
        <v>0</v>
      </c>
      <c r="M174" s="60">
        <v>0</v>
      </c>
      <c r="N174" s="60">
        <v>0</v>
      </c>
      <c r="O174" s="60">
        <v>-21.4</v>
      </c>
      <c r="P174" s="60">
        <v>-21.4</v>
      </c>
      <c r="Q174" s="61"/>
      <c r="R174" s="61"/>
      <c r="S174" s="59" t="s">
        <v>333</v>
      </c>
      <c r="U174" s="53"/>
      <c r="V174" s="53"/>
      <c r="W174" s="53"/>
      <c r="X174" s="53"/>
      <c r="Y174" s="53"/>
      <c r="Z174" s="53"/>
      <c r="AA174" s="53"/>
      <c r="AB174" s="53"/>
      <c r="AC174" s="53"/>
      <c r="AD174" s="53"/>
      <c r="AE174" s="53"/>
      <c r="AF174" s="53"/>
      <c r="AG174" s="53"/>
    </row>
    <row r="175" spans="2:33" ht="15" customHeight="1" x14ac:dyDescent="0.25">
      <c r="B175" s="59" t="s">
        <v>125</v>
      </c>
      <c r="C175" s="59" t="s">
        <v>439</v>
      </c>
      <c r="D175" s="60">
        <v>0</v>
      </c>
      <c r="E175" s="60">
        <v>0</v>
      </c>
      <c r="F175" s="60">
        <v>0</v>
      </c>
      <c r="G175" s="60">
        <v>0</v>
      </c>
      <c r="H175" s="60">
        <v>0</v>
      </c>
      <c r="I175" s="60">
        <v>0</v>
      </c>
      <c r="J175" s="60">
        <v>0</v>
      </c>
      <c r="K175" s="60">
        <v>0</v>
      </c>
      <c r="L175" s="60">
        <v>0</v>
      </c>
      <c r="M175" s="60">
        <v>0</v>
      </c>
      <c r="N175" s="60">
        <v>0</v>
      </c>
      <c r="O175" s="60">
        <v>0</v>
      </c>
      <c r="P175" s="60">
        <v>0</v>
      </c>
      <c r="Q175" s="61"/>
      <c r="R175" s="61"/>
      <c r="S175" s="59" t="s">
        <v>261</v>
      </c>
      <c r="U175" s="53"/>
      <c r="V175" s="53"/>
      <c r="W175" s="53"/>
      <c r="X175" s="53"/>
      <c r="Y175" s="53"/>
      <c r="Z175" s="53"/>
      <c r="AA175" s="53"/>
      <c r="AB175" s="53"/>
      <c r="AC175" s="53"/>
      <c r="AD175" s="53"/>
      <c r="AE175" s="53"/>
      <c r="AF175" s="53"/>
      <c r="AG175" s="53"/>
    </row>
    <row r="176" spans="2:33" ht="15" customHeight="1" x14ac:dyDescent="0.25">
      <c r="B176" s="135" t="str">
        <f>HYPERLINK("https://www.pbo.gov.au/elections/2025-general-election/2025-election-commitments-costings/High-quality-Graduate-Diplomas-of-Education", "ECR-2025-2868")</f>
        <v>ECR-2025-2868</v>
      </c>
      <c r="C176" s="59" t="s">
        <v>447</v>
      </c>
      <c r="D176" s="60">
        <v>0</v>
      </c>
      <c r="E176" s="60">
        <v>39.700000000000003</v>
      </c>
      <c r="F176" s="60">
        <v>82.2</v>
      </c>
      <c r="G176" s="60">
        <v>90.4</v>
      </c>
      <c r="H176" s="60">
        <v>99.1</v>
      </c>
      <c r="I176" s="60">
        <v>108.2</v>
      </c>
      <c r="J176" s="60">
        <v>118.7</v>
      </c>
      <c r="K176" s="60">
        <v>128.6</v>
      </c>
      <c r="L176" s="60">
        <v>140</v>
      </c>
      <c r="M176" s="60">
        <v>151.9</v>
      </c>
      <c r="N176" s="60">
        <v>165.4</v>
      </c>
      <c r="O176" s="60">
        <v>212.3</v>
      </c>
      <c r="P176" s="60">
        <v>1124.2</v>
      </c>
      <c r="Q176" s="61"/>
      <c r="R176" s="61"/>
      <c r="S176" s="59" t="s">
        <v>333</v>
      </c>
      <c r="U176" s="53"/>
      <c r="V176" s="53"/>
      <c r="W176" s="53"/>
      <c r="X176" s="53"/>
      <c r="Y176" s="53"/>
      <c r="Z176" s="53"/>
      <c r="AA176" s="53"/>
      <c r="AB176" s="53"/>
      <c r="AC176" s="53"/>
      <c r="AD176" s="53"/>
      <c r="AE176" s="53"/>
      <c r="AF176" s="53"/>
      <c r="AG176" s="53"/>
    </row>
    <row r="177" spans="2:33" ht="15" customHeight="1" x14ac:dyDescent="0.25">
      <c r="B177" s="59" t="s">
        <v>123</v>
      </c>
      <c r="C177" s="59" t="s">
        <v>407</v>
      </c>
      <c r="D177" s="60">
        <v>0</v>
      </c>
      <c r="E177" s="60">
        <v>0</v>
      </c>
      <c r="F177" s="60">
        <v>0</v>
      </c>
      <c r="G177" s="60">
        <v>0</v>
      </c>
      <c r="H177" s="60">
        <v>0</v>
      </c>
      <c r="I177" s="60">
        <v>0</v>
      </c>
      <c r="J177" s="60">
        <v>0</v>
      </c>
      <c r="K177" s="60">
        <v>0</v>
      </c>
      <c r="L177" s="60">
        <v>0</v>
      </c>
      <c r="M177" s="60">
        <v>0</v>
      </c>
      <c r="N177" s="60">
        <v>0</v>
      </c>
      <c r="O177" s="60">
        <v>0</v>
      </c>
      <c r="P177" s="60">
        <v>0</v>
      </c>
      <c r="Q177" s="61"/>
      <c r="R177" s="61"/>
      <c r="S177" s="59" t="s">
        <v>334</v>
      </c>
      <c r="U177" s="53"/>
      <c r="V177" s="53"/>
      <c r="W177" s="53"/>
      <c r="X177" s="53"/>
      <c r="Y177" s="53"/>
      <c r="Z177" s="53"/>
      <c r="AA177" s="53"/>
      <c r="AB177" s="53"/>
      <c r="AC177" s="53"/>
      <c r="AD177" s="53"/>
      <c r="AE177" s="53"/>
      <c r="AF177" s="53"/>
      <c r="AG177" s="53"/>
    </row>
    <row r="178" spans="2:33" ht="15" customHeight="1" x14ac:dyDescent="0.25">
      <c r="B178" s="135" t="str">
        <f>HYPERLINK("https://www.pbo.gov.au/elections/2025-general-election/2025-election-commitments-costings/increasing-isolated-children-boarding-school-allowance", "ECR-2025-2381")</f>
        <v>ECR-2025-2381</v>
      </c>
      <c r="C178" s="59" t="s">
        <v>183</v>
      </c>
      <c r="D178" s="60">
        <v>-20</v>
      </c>
      <c r="E178" s="60">
        <v>-20</v>
      </c>
      <c r="F178" s="60">
        <v>0</v>
      </c>
      <c r="G178" s="60">
        <v>0</v>
      </c>
      <c r="H178" s="60">
        <v>0</v>
      </c>
      <c r="I178" s="60">
        <v>0</v>
      </c>
      <c r="J178" s="60">
        <v>0</v>
      </c>
      <c r="K178" s="60">
        <v>0</v>
      </c>
      <c r="L178" s="60">
        <v>0</v>
      </c>
      <c r="M178" s="60">
        <v>0</v>
      </c>
      <c r="N178" s="60">
        <v>0</v>
      </c>
      <c r="O178" s="60">
        <v>-40</v>
      </c>
      <c r="P178" s="60">
        <v>-40</v>
      </c>
      <c r="Q178" s="61"/>
      <c r="R178" s="61"/>
      <c r="S178" s="59" t="s">
        <v>334</v>
      </c>
      <c r="U178" s="53"/>
      <c r="V178" s="53"/>
      <c r="W178" s="53"/>
      <c r="X178" s="53"/>
      <c r="Y178" s="53"/>
      <c r="Z178" s="53"/>
      <c r="AA178" s="53"/>
      <c r="AB178" s="53"/>
      <c r="AC178" s="53"/>
      <c r="AD178" s="53"/>
      <c r="AE178" s="53"/>
      <c r="AF178" s="53"/>
      <c r="AG178" s="53"/>
    </row>
    <row r="179" spans="2:33" ht="15" customHeight="1" x14ac:dyDescent="0.25">
      <c r="B179" s="135" t="str">
        <f>HYPERLINK("https://www.pbo.gov.au/elections/2025-general-election/2025-election-commitments-costings/investing-regional-health-education-infrastructure-and-workforce", "ECR-2025-2888")</f>
        <v>ECR-2025-2888</v>
      </c>
      <c r="C179" s="59" t="s">
        <v>215</v>
      </c>
      <c r="D179" s="60">
        <v>-37.799999999999997</v>
      </c>
      <c r="E179" s="60">
        <v>-40.700000000000003</v>
      </c>
      <c r="F179" s="60">
        <v>-45.2</v>
      </c>
      <c r="G179" s="60">
        <v>-12.5</v>
      </c>
      <c r="H179" s="60">
        <v>-13.4</v>
      </c>
      <c r="I179" s="60">
        <v>-11.7</v>
      </c>
      <c r="J179" s="60">
        <v>-9.9</v>
      </c>
      <c r="K179" s="60">
        <v>-8</v>
      </c>
      <c r="L179" s="60">
        <v>-8.3000000000000007</v>
      </c>
      <c r="M179" s="60">
        <v>-8.6</v>
      </c>
      <c r="N179" s="60">
        <v>-9</v>
      </c>
      <c r="O179" s="60">
        <v>-136.19999999999999</v>
      </c>
      <c r="P179" s="60">
        <v>-205.1</v>
      </c>
      <c r="Q179" s="61"/>
      <c r="R179" s="61"/>
      <c r="S179" s="59" t="s">
        <v>335</v>
      </c>
      <c r="U179" s="53"/>
      <c r="V179" s="53"/>
      <c r="W179" s="53"/>
      <c r="X179" s="53"/>
      <c r="Y179" s="53"/>
      <c r="Z179" s="53"/>
      <c r="AA179" s="53"/>
      <c r="AB179" s="53"/>
      <c r="AC179" s="53"/>
      <c r="AD179" s="53"/>
      <c r="AE179" s="53"/>
      <c r="AF179" s="53"/>
      <c r="AG179" s="53"/>
    </row>
    <row r="180" spans="2:33" ht="15" customHeight="1" x14ac:dyDescent="0.25">
      <c r="B180" s="135" t="str">
        <f>HYPERLINK("https://www.pbo.gov.au/elections/2025-general-election/2025-election-commitments-costings/Maddie%20Riewoldt%E2%80%99s%20Vision%20%E2%80%93%20additional%20support", "ECR-2025-2302")</f>
        <v>ECR-2025-2302</v>
      </c>
      <c r="C180" s="59" t="s">
        <v>178</v>
      </c>
      <c r="D180" s="60">
        <v>-3</v>
      </c>
      <c r="E180" s="60">
        <v>0</v>
      </c>
      <c r="F180" s="60">
        <v>0</v>
      </c>
      <c r="G180" s="60">
        <v>0</v>
      </c>
      <c r="H180" s="60">
        <v>0</v>
      </c>
      <c r="I180" s="60">
        <v>0</v>
      </c>
      <c r="J180" s="60">
        <v>0</v>
      </c>
      <c r="K180" s="60">
        <v>0</v>
      </c>
      <c r="L180" s="60">
        <v>0</v>
      </c>
      <c r="M180" s="60">
        <v>0</v>
      </c>
      <c r="N180" s="60">
        <v>0</v>
      </c>
      <c r="O180" s="60">
        <v>-3</v>
      </c>
      <c r="P180" s="60">
        <v>-3</v>
      </c>
      <c r="Q180" s="61"/>
      <c r="R180" s="61"/>
      <c r="S180" s="59" t="s">
        <v>336</v>
      </c>
      <c r="U180" s="53"/>
      <c r="V180" s="53"/>
      <c r="W180" s="53"/>
      <c r="X180" s="53"/>
      <c r="Y180" s="53"/>
      <c r="Z180" s="53"/>
      <c r="AA180" s="53"/>
      <c r="AB180" s="53"/>
      <c r="AC180" s="53"/>
      <c r="AD180" s="53"/>
      <c r="AE180" s="53"/>
      <c r="AF180" s="53"/>
      <c r="AG180" s="53"/>
    </row>
    <row r="181" spans="2:33" ht="15" customHeight="1" x14ac:dyDescent="0.25">
      <c r="B181" s="135" t="str">
        <f>HYPERLINK("https://www.pbo.gov.au/elections/2025-general-election/2025-election-commitments-costings/Making%20it%20easier%20to%20access%20Medicare%20subsidised%20psychology%20sessions", "ECR-2025-2529")</f>
        <v>ECR-2025-2529</v>
      </c>
      <c r="C181" s="59" t="s">
        <v>256</v>
      </c>
      <c r="D181" s="60">
        <v>19.7</v>
      </c>
      <c r="E181" s="60">
        <v>21.2</v>
      </c>
      <c r="F181" s="60">
        <v>21.9</v>
      </c>
      <c r="G181" s="60">
        <v>22.6</v>
      </c>
      <c r="H181" s="60">
        <v>23.4</v>
      </c>
      <c r="I181" s="60">
        <v>24.2</v>
      </c>
      <c r="J181" s="60">
        <v>25.1</v>
      </c>
      <c r="K181" s="60">
        <v>26</v>
      </c>
      <c r="L181" s="60">
        <v>26.9</v>
      </c>
      <c r="M181" s="60">
        <v>27.9</v>
      </c>
      <c r="N181" s="60">
        <v>28.9</v>
      </c>
      <c r="O181" s="60">
        <v>85.4</v>
      </c>
      <c r="P181" s="60">
        <v>267.8</v>
      </c>
      <c r="Q181" s="61"/>
      <c r="R181" s="61"/>
      <c r="S181" s="59" t="s">
        <v>261</v>
      </c>
      <c r="U181" s="53"/>
      <c r="V181" s="53"/>
      <c r="W181" s="53"/>
      <c r="X181" s="53"/>
      <c r="Y181" s="53"/>
      <c r="Z181" s="53"/>
      <c r="AA181" s="53"/>
      <c r="AB181" s="53"/>
      <c r="AC181" s="53"/>
      <c r="AD181" s="53"/>
      <c r="AE181" s="53"/>
      <c r="AF181" s="53"/>
      <c r="AG181" s="53"/>
    </row>
    <row r="182" spans="2:33" ht="15" customHeight="1" x14ac:dyDescent="0.25">
      <c r="B182" s="135" t="str">
        <f>HYPERLINK("https://www.pbo.gov.au/elections/2025-general-election/2025-election-commitments-costings/national-institute-mental-health-expansion", "ECR-2025-2288")</f>
        <v>ECR-2025-2288</v>
      </c>
      <c r="C182" s="59" t="s">
        <v>182</v>
      </c>
      <c r="D182" s="60">
        <v>0</v>
      </c>
      <c r="E182" s="60">
        <v>-9</v>
      </c>
      <c r="F182" s="60">
        <v>-9</v>
      </c>
      <c r="G182" s="60">
        <v>-9</v>
      </c>
      <c r="H182" s="60">
        <v>-9</v>
      </c>
      <c r="I182" s="60">
        <v>-9</v>
      </c>
      <c r="J182" s="60">
        <v>-9</v>
      </c>
      <c r="K182" s="60">
        <v>-9</v>
      </c>
      <c r="L182" s="60">
        <v>-9</v>
      </c>
      <c r="M182" s="60">
        <v>-9</v>
      </c>
      <c r="N182" s="60">
        <v>-9</v>
      </c>
      <c r="O182" s="60">
        <v>-27</v>
      </c>
      <c r="P182" s="60">
        <v>-90</v>
      </c>
      <c r="Q182" s="61"/>
      <c r="R182" s="61"/>
      <c r="S182" s="59" t="s">
        <v>337</v>
      </c>
      <c r="U182" s="53"/>
      <c r="V182" s="53"/>
      <c r="W182" s="53"/>
      <c r="X182" s="53"/>
      <c r="Y182" s="53"/>
      <c r="Z182" s="53"/>
      <c r="AA182" s="53"/>
      <c r="AB182" s="53"/>
      <c r="AC182" s="53"/>
      <c r="AD182" s="53"/>
      <c r="AE182" s="53"/>
      <c r="AF182" s="53"/>
      <c r="AG182" s="53"/>
    </row>
    <row r="183" spans="2:33" ht="15" customHeight="1" x14ac:dyDescent="0.25">
      <c r="B183" s="135" t="str">
        <f>HYPERLINK("https://www.pbo.gov.au/elections/2025-general-election/2025-election-commitments-costings/national-school-chaplaincy-program-additional-resourcing", "ECR-2025-2425")</f>
        <v>ECR-2025-2425</v>
      </c>
      <c r="C183" s="59" t="s">
        <v>180</v>
      </c>
      <c r="D183" s="60">
        <v>-4.5999999999999996</v>
      </c>
      <c r="E183" s="60">
        <v>-10.3</v>
      </c>
      <c r="F183" s="60">
        <v>-12.5</v>
      </c>
      <c r="G183" s="60">
        <v>-15</v>
      </c>
      <c r="H183" s="60">
        <v>-17.399999999999999</v>
      </c>
      <c r="I183" s="60">
        <v>-19.8</v>
      </c>
      <c r="J183" s="60">
        <v>-22.2</v>
      </c>
      <c r="K183" s="60">
        <v>-24.7</v>
      </c>
      <c r="L183" s="60">
        <v>-27.3</v>
      </c>
      <c r="M183" s="60">
        <v>-30</v>
      </c>
      <c r="N183" s="60">
        <v>-32.700000000000003</v>
      </c>
      <c r="O183" s="60">
        <v>-42.4</v>
      </c>
      <c r="P183" s="60">
        <v>-216.5</v>
      </c>
      <c r="Q183" s="61"/>
      <c r="R183" s="61"/>
      <c r="S183" s="59" t="s">
        <v>334</v>
      </c>
      <c r="U183" s="53"/>
      <c r="V183" s="53"/>
      <c r="W183" s="53"/>
      <c r="X183" s="53"/>
      <c r="Y183" s="53"/>
      <c r="Z183" s="53"/>
      <c r="AA183" s="53"/>
      <c r="AB183" s="53"/>
      <c r="AC183" s="53"/>
      <c r="AD183" s="53"/>
      <c r="AE183" s="53"/>
      <c r="AF183" s="53"/>
      <c r="AG183" s="53"/>
    </row>
    <row r="184" spans="2:33" ht="15" customHeight="1" x14ac:dyDescent="0.25">
      <c r="B184" s="135" t="str">
        <f>HYPERLINK("https://www.pbo.gov.au/elections/2025-general-election/2025-election-commitments-costings/New%20BOM%20radar%20in%20Central%20Queensland", "ECR-2025-2658")</f>
        <v>ECR-2025-2658</v>
      </c>
      <c r="C184" s="59" t="s">
        <v>440</v>
      </c>
      <c r="D184" s="60">
        <v>-4</v>
      </c>
      <c r="E184" s="60">
        <v>-2</v>
      </c>
      <c r="F184" s="60">
        <v>-2</v>
      </c>
      <c r="G184" s="60">
        <v>-2</v>
      </c>
      <c r="H184" s="60">
        <v>0</v>
      </c>
      <c r="I184" s="60">
        <v>0</v>
      </c>
      <c r="J184" s="60">
        <v>0</v>
      </c>
      <c r="K184" s="60">
        <v>0</v>
      </c>
      <c r="L184" s="60">
        <v>0</v>
      </c>
      <c r="M184" s="60">
        <v>0</v>
      </c>
      <c r="N184" s="60">
        <v>0</v>
      </c>
      <c r="O184" s="60">
        <v>-10</v>
      </c>
      <c r="P184" s="60">
        <v>-10</v>
      </c>
      <c r="Q184" s="61"/>
      <c r="R184" s="61"/>
      <c r="S184" s="59" t="s">
        <v>338</v>
      </c>
      <c r="U184" s="53"/>
      <c r="V184" s="53"/>
      <c r="W184" s="53"/>
      <c r="X184" s="53"/>
      <c r="Y184" s="53"/>
      <c r="Z184" s="53"/>
      <c r="AA184" s="53"/>
      <c r="AB184" s="53"/>
      <c r="AC184" s="53"/>
      <c r="AD184" s="53"/>
      <c r="AE184" s="53"/>
      <c r="AF184" s="53"/>
      <c r="AG184" s="53"/>
    </row>
    <row r="185" spans="2:33" ht="15" customHeight="1" x14ac:dyDescent="0.25">
      <c r="B185" s="135" t="str">
        <f>HYPERLINK("https://www.pbo.gov.au/elections/2025-general-election/2025-election-commitments-costings/new-health-and-engineering-wing-CQuniversity", "ECR-2025-2437")</f>
        <v>ECR-2025-2437</v>
      </c>
      <c r="C185" s="59" t="s">
        <v>441</v>
      </c>
      <c r="D185" s="60">
        <v>-15</v>
      </c>
      <c r="E185" s="60">
        <v>-7.5</v>
      </c>
      <c r="F185" s="60">
        <v>-5</v>
      </c>
      <c r="G185" s="60">
        <v>0</v>
      </c>
      <c r="H185" s="60">
        <v>0</v>
      </c>
      <c r="I185" s="60">
        <v>0</v>
      </c>
      <c r="J185" s="60">
        <v>0</v>
      </c>
      <c r="K185" s="60">
        <v>0</v>
      </c>
      <c r="L185" s="60">
        <v>0</v>
      </c>
      <c r="M185" s="60">
        <v>0</v>
      </c>
      <c r="N185" s="60">
        <v>0</v>
      </c>
      <c r="O185" s="60">
        <v>-27.5</v>
      </c>
      <c r="P185" s="60">
        <v>-27.5</v>
      </c>
      <c r="Q185" s="61"/>
      <c r="R185" s="61"/>
      <c r="S185" s="59" t="s">
        <v>280</v>
      </c>
      <c r="U185" s="53"/>
      <c r="V185" s="53"/>
      <c r="W185" s="53"/>
      <c r="X185" s="53"/>
      <c r="Y185" s="53"/>
      <c r="Z185" s="53"/>
      <c r="AA185" s="53"/>
      <c r="AB185" s="53"/>
      <c r="AC185" s="53"/>
      <c r="AD185" s="53"/>
      <c r="AE185" s="53"/>
      <c r="AF185" s="53"/>
      <c r="AG185" s="53"/>
    </row>
    <row r="186" spans="2:33" ht="15" customHeight="1" x14ac:dyDescent="0.25">
      <c r="B186" s="135" t="str">
        <f>HYPERLINK("https://www.pbo.gov.au/elections/2025-general-election/2025-election-commitments-costings/next-stages-creutzfeldt-jakob-disease-longitudinal-study", "ECR-2025-2209")</f>
        <v>ECR-2025-2209</v>
      </c>
      <c r="C186" s="59" t="s">
        <v>177</v>
      </c>
      <c r="D186" s="60">
        <v>0</v>
      </c>
      <c r="E186" s="60">
        <v>0</v>
      </c>
      <c r="F186" s="60">
        <v>-0.2</v>
      </c>
      <c r="G186" s="60">
        <v>-0.1</v>
      </c>
      <c r="H186" s="60">
        <v>0</v>
      </c>
      <c r="I186" s="60">
        <v>0</v>
      </c>
      <c r="J186" s="60">
        <v>0</v>
      </c>
      <c r="K186" s="60">
        <v>0</v>
      </c>
      <c r="L186" s="60">
        <v>0</v>
      </c>
      <c r="M186" s="60">
        <v>0</v>
      </c>
      <c r="N186" s="60">
        <v>0</v>
      </c>
      <c r="O186" s="60">
        <v>-0.3</v>
      </c>
      <c r="P186" s="60">
        <v>-0.3</v>
      </c>
      <c r="Q186" s="61"/>
      <c r="R186" s="61"/>
      <c r="S186" s="59" t="s">
        <v>280</v>
      </c>
      <c r="U186" s="53"/>
      <c r="V186" s="53"/>
      <c r="W186" s="53"/>
      <c r="X186" s="53"/>
      <c r="Y186" s="53"/>
      <c r="Z186" s="53"/>
      <c r="AA186" s="53"/>
      <c r="AB186" s="53"/>
      <c r="AC186" s="53"/>
      <c r="AD186" s="53"/>
      <c r="AE186" s="53"/>
      <c r="AF186" s="53"/>
      <c r="AG186" s="53"/>
    </row>
    <row r="187" spans="2:33" ht="15" customHeight="1" x14ac:dyDescent="0.25">
      <c r="B187" s="135" t="str">
        <f>HYPERLINK("https://www.pbo.gov.au/elections/2025-general-election/2025-election-commitments-costings/non-government-school-18-month-foundation-program", "ECR-2025-2648")</f>
        <v>ECR-2025-2648</v>
      </c>
      <c r="C187" s="59" t="s">
        <v>630</v>
      </c>
      <c r="D187" s="60">
        <v>-22</v>
      </c>
      <c r="E187" s="60">
        <v>0</v>
      </c>
      <c r="F187" s="60">
        <v>0</v>
      </c>
      <c r="G187" s="60">
        <v>0</v>
      </c>
      <c r="H187" s="60">
        <v>0</v>
      </c>
      <c r="I187" s="60">
        <v>0</v>
      </c>
      <c r="J187" s="60">
        <v>0</v>
      </c>
      <c r="K187" s="60">
        <v>0</v>
      </c>
      <c r="L187" s="60">
        <v>0</v>
      </c>
      <c r="M187" s="60">
        <v>0</v>
      </c>
      <c r="N187" s="60">
        <v>0</v>
      </c>
      <c r="O187" s="60">
        <v>-22</v>
      </c>
      <c r="P187" s="60">
        <v>-22</v>
      </c>
      <c r="Q187" s="61"/>
      <c r="R187" s="61"/>
      <c r="S187" s="59" t="s">
        <v>261</v>
      </c>
      <c r="U187" s="53"/>
      <c r="V187" s="53"/>
      <c r="W187" s="53"/>
      <c r="X187" s="53"/>
      <c r="Y187" s="53"/>
      <c r="Z187" s="53"/>
      <c r="AA187" s="53"/>
      <c r="AB187" s="53"/>
      <c r="AC187" s="53"/>
      <c r="AD187" s="53"/>
      <c r="AE187" s="53"/>
      <c r="AF187" s="53"/>
      <c r="AG187" s="53"/>
    </row>
    <row r="188" spans="2:33" ht="15" customHeight="1" x14ac:dyDescent="0.25">
      <c r="B188" s="135" t="str">
        <f>HYPERLINK("https://www.pbo.gov.au/elections/2025-general-election/2025-election-commitments-costings/northern-australia-and-rangelands-fire-information", "ECR-2025-2154")</f>
        <v>ECR-2025-2154</v>
      </c>
      <c r="C188" s="59" t="s">
        <v>188</v>
      </c>
      <c r="D188" s="60">
        <v>-0.9</v>
      </c>
      <c r="E188" s="60">
        <v>-0.8</v>
      </c>
      <c r="F188" s="60">
        <v>-0.8</v>
      </c>
      <c r="G188" s="60">
        <v>0</v>
      </c>
      <c r="H188" s="60">
        <v>0</v>
      </c>
      <c r="I188" s="60">
        <v>0</v>
      </c>
      <c r="J188" s="60">
        <v>0</v>
      </c>
      <c r="K188" s="60">
        <v>0</v>
      </c>
      <c r="L188" s="60">
        <v>0</v>
      </c>
      <c r="M188" s="60">
        <v>0</v>
      </c>
      <c r="N188" s="60">
        <v>0</v>
      </c>
      <c r="O188" s="60">
        <v>-2.5</v>
      </c>
      <c r="P188" s="60">
        <v>-2.5</v>
      </c>
      <c r="Q188" s="61"/>
      <c r="R188" s="61"/>
      <c r="S188" s="59" t="s">
        <v>313</v>
      </c>
      <c r="U188" s="53"/>
      <c r="V188" s="53"/>
      <c r="W188" s="53"/>
      <c r="X188" s="53"/>
      <c r="Y188" s="53"/>
      <c r="Z188" s="53"/>
      <c r="AA188" s="53"/>
      <c r="AB188" s="53"/>
      <c r="AC188" s="53"/>
      <c r="AD188" s="53"/>
      <c r="AE188" s="53"/>
      <c r="AF188" s="53"/>
      <c r="AG188" s="53"/>
    </row>
    <row r="189" spans="2:33" ht="15" customHeight="1" x14ac:dyDescent="0.25">
      <c r="B189" s="135" t="str">
        <f>HYPERLINK("https://www.pbo.gov.au/elections/2025-general-election/2025-election-commitments-costings/Outcomes-based%20indigenous%20health%20delivery%20%E2%80%93%20CareFlight%20investment", "ECR-2025-2181")</f>
        <v>ECR-2025-2181</v>
      </c>
      <c r="C189" s="59" t="s">
        <v>442</v>
      </c>
      <c r="D189" s="60">
        <v>-10</v>
      </c>
      <c r="E189" s="60">
        <v>0</v>
      </c>
      <c r="F189" s="60">
        <v>0</v>
      </c>
      <c r="G189" s="60">
        <v>0</v>
      </c>
      <c r="H189" s="60">
        <v>0</v>
      </c>
      <c r="I189" s="60">
        <v>0</v>
      </c>
      <c r="J189" s="60">
        <v>0</v>
      </c>
      <c r="K189" s="60">
        <v>0</v>
      </c>
      <c r="L189" s="60">
        <v>0</v>
      </c>
      <c r="M189" s="60">
        <v>0</v>
      </c>
      <c r="N189" s="60">
        <v>0</v>
      </c>
      <c r="O189" s="60">
        <v>-10</v>
      </c>
      <c r="P189" s="60">
        <v>-10</v>
      </c>
      <c r="Q189" s="61"/>
      <c r="R189" s="61"/>
      <c r="S189" s="59" t="s">
        <v>339</v>
      </c>
      <c r="U189" s="53"/>
      <c r="V189" s="53"/>
      <c r="W189" s="53"/>
      <c r="X189" s="53"/>
      <c r="Y189" s="53"/>
      <c r="Z189" s="53"/>
      <c r="AA189" s="53"/>
      <c r="AB189" s="53"/>
      <c r="AC189" s="53"/>
      <c r="AD189" s="53"/>
      <c r="AE189" s="53"/>
      <c r="AF189" s="53"/>
      <c r="AG189" s="53"/>
    </row>
    <row r="190" spans="2:33" ht="15" customHeight="1" x14ac:dyDescent="0.25">
      <c r="B190" s="135" t="str">
        <f>HYPERLINK("https://www.pbo.gov.au/elections/2025-general-election/2025-election-commitments-costings/Tresillian%20Family%20Care%20Centre", "ECR-2025-2514")</f>
        <v>ECR-2025-2514</v>
      </c>
      <c r="C190" s="59" t="s">
        <v>443</v>
      </c>
      <c r="D190" s="60">
        <v>-2.1</v>
      </c>
      <c r="E190" s="60">
        <v>-1.8</v>
      </c>
      <c r="F190" s="60">
        <v>-1.8</v>
      </c>
      <c r="G190" s="60">
        <v>-1.9</v>
      </c>
      <c r="H190" s="60">
        <v>0</v>
      </c>
      <c r="I190" s="60">
        <v>0</v>
      </c>
      <c r="J190" s="60">
        <v>0</v>
      </c>
      <c r="K190" s="60">
        <v>0</v>
      </c>
      <c r="L190" s="60">
        <v>0</v>
      </c>
      <c r="M190" s="60">
        <v>0</v>
      </c>
      <c r="N190" s="60">
        <v>0</v>
      </c>
      <c r="O190" s="60">
        <v>-7.6</v>
      </c>
      <c r="P190" s="60">
        <v>-7.6</v>
      </c>
      <c r="Q190" s="61"/>
      <c r="R190" s="61"/>
      <c r="S190" s="59" t="s">
        <v>340</v>
      </c>
      <c r="U190" s="53"/>
      <c r="V190" s="53"/>
      <c r="W190" s="53"/>
      <c r="X190" s="53"/>
      <c r="Y190" s="53"/>
      <c r="Z190" s="53"/>
      <c r="AA190" s="53"/>
      <c r="AB190" s="53"/>
      <c r="AC190" s="53"/>
      <c r="AD190" s="53"/>
      <c r="AE190" s="53"/>
      <c r="AF190" s="53"/>
      <c r="AG190" s="53"/>
    </row>
    <row r="191" spans="2:33" ht="15" customHeight="1" x14ac:dyDescent="0.25">
      <c r="B191" s="135" t="str">
        <f>HYPERLINK("https://www.pbo.gov.au/elections/2025-general-election/2025-election-commitments-costings/ovarian-cancer-australia", "ECR-2025-2819")</f>
        <v>ECR-2025-2819</v>
      </c>
      <c r="C191" s="59" t="s">
        <v>187</v>
      </c>
      <c r="D191" s="60">
        <v>-2</v>
      </c>
      <c r="E191" s="60">
        <v>-2</v>
      </c>
      <c r="F191" s="60">
        <v>0</v>
      </c>
      <c r="G191" s="60">
        <v>0</v>
      </c>
      <c r="H191" s="60">
        <v>0</v>
      </c>
      <c r="I191" s="60">
        <v>0</v>
      </c>
      <c r="J191" s="60">
        <v>0</v>
      </c>
      <c r="K191" s="60">
        <v>0</v>
      </c>
      <c r="L191" s="60">
        <v>0</v>
      </c>
      <c r="M191" s="60">
        <v>0</v>
      </c>
      <c r="N191" s="60">
        <v>0</v>
      </c>
      <c r="O191" s="60">
        <v>-4</v>
      </c>
      <c r="P191" s="60">
        <v>-4</v>
      </c>
      <c r="Q191" s="61"/>
      <c r="R191" s="61"/>
      <c r="S191" s="59" t="s">
        <v>280</v>
      </c>
      <c r="U191" s="53"/>
      <c r="V191" s="53"/>
      <c r="W191" s="53"/>
      <c r="X191" s="53"/>
      <c r="Y191" s="53"/>
      <c r="Z191" s="53"/>
      <c r="AA191" s="53"/>
      <c r="AB191" s="53"/>
      <c r="AC191" s="53"/>
      <c r="AD191" s="53"/>
      <c r="AE191" s="53"/>
      <c r="AF191" s="53"/>
      <c r="AG191" s="53"/>
    </row>
    <row r="192" spans="2:33" ht="15" customHeight="1" x14ac:dyDescent="0.25">
      <c r="B192" s="135" t="str">
        <f>HYPERLINK("https://www.pbo.gov.au/elections/2025-general-election/2025-election-commitments-costings/permanently-restoring-20-psychology-sessions-and-investing-headspace-centres-youth-psychosis-centres-and-additional-urgent-care-clinics", "ECR-2025-2164")</f>
        <v>ECR-2025-2164</v>
      </c>
      <c r="C192" s="59" t="s">
        <v>244</v>
      </c>
      <c r="D192" s="60">
        <v>-18.600000000000001</v>
      </c>
      <c r="E192" s="60">
        <v>-80.7</v>
      </c>
      <c r="F192" s="60">
        <v>-108.6</v>
      </c>
      <c r="G192" s="60">
        <v>-263.5</v>
      </c>
      <c r="H192" s="60">
        <v>-238.9</v>
      </c>
      <c r="I192" s="60">
        <v>-244.9</v>
      </c>
      <c r="J192" s="60">
        <v>-249.9</v>
      </c>
      <c r="K192" s="60">
        <v>-254.9</v>
      </c>
      <c r="L192" s="60">
        <v>-261</v>
      </c>
      <c r="M192" s="60">
        <v>-266</v>
      </c>
      <c r="N192" s="60">
        <v>-272</v>
      </c>
      <c r="O192" s="60">
        <v>-471.4</v>
      </c>
      <c r="P192" s="60">
        <v>-2259</v>
      </c>
      <c r="Q192" s="61"/>
      <c r="R192" s="61"/>
      <c r="S192" s="59" t="s">
        <v>341</v>
      </c>
      <c r="U192" s="53"/>
      <c r="V192" s="53"/>
      <c r="W192" s="53"/>
      <c r="X192" s="53"/>
      <c r="Y192" s="53"/>
      <c r="Z192" s="53"/>
      <c r="AA192" s="53"/>
      <c r="AB192" s="53"/>
      <c r="AC192" s="53"/>
      <c r="AD192" s="53"/>
      <c r="AE192" s="53"/>
      <c r="AF192" s="53"/>
      <c r="AG192" s="53"/>
    </row>
    <row r="193" spans="2:33" ht="15" customHeight="1" x14ac:dyDescent="0.25">
      <c r="B193" s="135" t="str">
        <f>HYPERLINK("https://www.pbo.gov.au/elections/2025-general-election/2025-election-commitments-costings/ready-to-read-program", "ECR-2025-2172")</f>
        <v>ECR-2025-2172</v>
      </c>
      <c r="C193" s="59" t="s">
        <v>173</v>
      </c>
      <c r="D193" s="60">
        <v>-0.6</v>
      </c>
      <c r="E193" s="60">
        <v>-0.6</v>
      </c>
      <c r="F193" s="60">
        <v>-1</v>
      </c>
      <c r="G193" s="60">
        <v>-1.6</v>
      </c>
      <c r="H193" s="60">
        <v>0</v>
      </c>
      <c r="I193" s="60">
        <v>0</v>
      </c>
      <c r="J193" s="60">
        <v>0</v>
      </c>
      <c r="K193" s="60">
        <v>0</v>
      </c>
      <c r="L193" s="60">
        <v>0</v>
      </c>
      <c r="M193" s="60">
        <v>0</v>
      </c>
      <c r="N193" s="60">
        <v>0</v>
      </c>
      <c r="O193" s="60">
        <v>-3.8</v>
      </c>
      <c r="P193" s="60">
        <v>-3.8</v>
      </c>
      <c r="Q193" s="61"/>
      <c r="R193" s="61"/>
      <c r="S193" s="59" t="s">
        <v>342</v>
      </c>
      <c r="U193" s="53"/>
      <c r="V193" s="53"/>
      <c r="W193" s="53"/>
      <c r="X193" s="53"/>
      <c r="Y193" s="53"/>
      <c r="Z193" s="53"/>
      <c r="AA193" s="53"/>
      <c r="AB193" s="53"/>
      <c r="AC193" s="53"/>
      <c r="AD193" s="53"/>
      <c r="AE193" s="53"/>
      <c r="AF193" s="53"/>
      <c r="AG193" s="53"/>
    </row>
    <row r="194" spans="2:33" ht="15" customHeight="1" x14ac:dyDescent="0.25">
      <c r="B194" s="135" t="str">
        <f>HYPERLINK("https://www.pbo.gov.au/elections/2025-general-election/2025-election-commitments-costings/Remote-Indigenous-student-success-boarding-fund", "ECR-2025-2719")</f>
        <v>ECR-2025-2719</v>
      </c>
      <c r="C194" s="59" t="s">
        <v>214</v>
      </c>
      <c r="D194" s="60">
        <v>-50</v>
      </c>
      <c r="E194" s="60">
        <v>-53.1</v>
      </c>
      <c r="F194" s="60">
        <v>-6.3</v>
      </c>
      <c r="G194" s="60">
        <v>-6.5</v>
      </c>
      <c r="H194" s="60">
        <v>-6.7</v>
      </c>
      <c r="I194" s="60">
        <v>0</v>
      </c>
      <c r="J194" s="60">
        <v>0</v>
      </c>
      <c r="K194" s="60">
        <v>0</v>
      </c>
      <c r="L194" s="60">
        <v>0</v>
      </c>
      <c r="M194" s="60">
        <v>0</v>
      </c>
      <c r="N194" s="60">
        <v>0</v>
      </c>
      <c r="O194" s="60">
        <v>-115.9</v>
      </c>
      <c r="P194" s="60">
        <v>-122.6</v>
      </c>
      <c r="Q194" s="61"/>
      <c r="R194" s="61"/>
      <c r="S194" s="59" t="s">
        <v>334</v>
      </c>
      <c r="U194" s="53"/>
      <c r="V194" s="53"/>
      <c r="W194" s="53"/>
      <c r="X194" s="53"/>
      <c r="Y194" s="53"/>
      <c r="Z194" s="53"/>
      <c r="AA194" s="53"/>
      <c r="AB194" s="53"/>
      <c r="AC194" s="53"/>
      <c r="AD194" s="53"/>
      <c r="AE194" s="53"/>
      <c r="AF194" s="53"/>
      <c r="AG194" s="53"/>
    </row>
    <row r="195" spans="2:33" ht="15" customHeight="1" x14ac:dyDescent="0.25">
      <c r="B195" s="135" t="str">
        <f>HYPERLINK("https://www.pbo.gov.au/elections/2025-general-election/2025-election-commitments-costings/Review%20of%20women-specific%20health%20items%20on%20the%20MBS%20and%20PBS", "ECR-2025-2747")</f>
        <v>ECR-2025-2747</v>
      </c>
      <c r="C195" s="59" t="s">
        <v>175</v>
      </c>
      <c r="D195" s="60">
        <v>-5</v>
      </c>
      <c r="E195" s="60">
        <v>0</v>
      </c>
      <c r="F195" s="60">
        <v>0</v>
      </c>
      <c r="G195" s="60">
        <v>0</v>
      </c>
      <c r="H195" s="60">
        <v>0</v>
      </c>
      <c r="I195" s="60">
        <v>0</v>
      </c>
      <c r="J195" s="60">
        <v>0</v>
      </c>
      <c r="K195" s="60">
        <v>0</v>
      </c>
      <c r="L195" s="60">
        <v>0</v>
      </c>
      <c r="M195" s="60">
        <v>0</v>
      </c>
      <c r="N195" s="60">
        <v>0</v>
      </c>
      <c r="O195" s="60">
        <v>-5</v>
      </c>
      <c r="P195" s="60">
        <v>-5</v>
      </c>
      <c r="Q195" s="61"/>
      <c r="R195" s="61"/>
      <c r="S195" s="59" t="s">
        <v>280</v>
      </c>
      <c r="U195" s="53"/>
      <c r="V195" s="53"/>
      <c r="W195" s="53"/>
      <c r="X195" s="53"/>
      <c r="Y195" s="53"/>
      <c r="Z195" s="53"/>
      <c r="AA195" s="53"/>
      <c r="AB195" s="53"/>
      <c r="AC195" s="53"/>
      <c r="AD195" s="53"/>
      <c r="AE195" s="53"/>
      <c r="AF195" s="53"/>
      <c r="AG195" s="53"/>
    </row>
    <row r="196" spans="2:33" ht="15" customHeight="1" x14ac:dyDescent="0.25">
      <c r="B196" s="59" t="s">
        <v>122</v>
      </c>
      <c r="C196" s="59" t="s">
        <v>408</v>
      </c>
      <c r="D196" s="60">
        <v>0</v>
      </c>
      <c r="E196" s="60">
        <v>0</v>
      </c>
      <c r="F196" s="60">
        <v>0</v>
      </c>
      <c r="G196" s="60">
        <v>0</v>
      </c>
      <c r="H196" s="60">
        <v>0</v>
      </c>
      <c r="I196" s="60">
        <v>0</v>
      </c>
      <c r="J196" s="60">
        <v>0</v>
      </c>
      <c r="K196" s="60">
        <v>0</v>
      </c>
      <c r="L196" s="60">
        <v>0</v>
      </c>
      <c r="M196" s="60">
        <v>0</v>
      </c>
      <c r="N196" s="60">
        <v>0</v>
      </c>
      <c r="O196" s="60">
        <v>0</v>
      </c>
      <c r="P196" s="60">
        <v>0</v>
      </c>
      <c r="Q196" s="61"/>
      <c r="R196" s="61"/>
      <c r="S196" s="59" t="s">
        <v>343</v>
      </c>
      <c r="U196" s="53"/>
      <c r="V196" s="53"/>
      <c r="W196" s="53"/>
      <c r="X196" s="53"/>
      <c r="Y196" s="53"/>
      <c r="Z196" s="53"/>
      <c r="AA196" s="53"/>
      <c r="AB196" s="53"/>
      <c r="AC196" s="53"/>
      <c r="AD196" s="53"/>
      <c r="AE196" s="53"/>
      <c r="AF196" s="53"/>
      <c r="AG196" s="53"/>
    </row>
    <row r="197" spans="2:33" ht="15" customHeight="1" x14ac:dyDescent="0.25">
      <c r="B197" s="59" t="s">
        <v>121</v>
      </c>
      <c r="C197" s="59" t="s">
        <v>409</v>
      </c>
      <c r="D197" s="60">
        <v>0</v>
      </c>
      <c r="E197" s="60">
        <v>0</v>
      </c>
      <c r="F197" s="60">
        <v>0</v>
      </c>
      <c r="G197" s="60">
        <v>0</v>
      </c>
      <c r="H197" s="60">
        <v>0</v>
      </c>
      <c r="I197" s="60">
        <v>0</v>
      </c>
      <c r="J197" s="60">
        <v>0</v>
      </c>
      <c r="K197" s="60">
        <v>0</v>
      </c>
      <c r="L197" s="60">
        <v>0</v>
      </c>
      <c r="M197" s="60">
        <v>0</v>
      </c>
      <c r="N197" s="60">
        <v>0</v>
      </c>
      <c r="O197" s="60">
        <v>0</v>
      </c>
      <c r="P197" s="60">
        <v>0</v>
      </c>
      <c r="Q197" s="61"/>
      <c r="R197" s="61"/>
      <c r="S197" s="59" t="s">
        <v>334</v>
      </c>
      <c r="U197" s="53"/>
      <c r="V197" s="53"/>
      <c r="W197" s="53"/>
      <c r="X197" s="53"/>
      <c r="Y197" s="53"/>
      <c r="Z197" s="53"/>
      <c r="AA197" s="53"/>
      <c r="AB197" s="53"/>
      <c r="AC197" s="53"/>
      <c r="AD197" s="53"/>
      <c r="AE197" s="53"/>
      <c r="AF197" s="53"/>
      <c r="AG197" s="53"/>
    </row>
    <row r="198" spans="2:33" ht="15" customHeight="1" x14ac:dyDescent="0.25">
      <c r="B198" s="135" t="str">
        <f>HYPERLINK("https://www.pbo.gov.au/elections/2025-general-election/2025-election-commitments-costings/specialised-care-subsidy-AEIOU-foundation", "ECR-2025-2432")</f>
        <v>ECR-2025-2432</v>
      </c>
      <c r="C198" s="59" t="s">
        <v>444</v>
      </c>
      <c r="D198" s="60">
        <v>-9</v>
      </c>
      <c r="E198" s="60">
        <v>-11</v>
      </c>
      <c r="F198" s="60">
        <v>-12</v>
      </c>
      <c r="G198" s="60">
        <v>-3</v>
      </c>
      <c r="H198" s="60">
        <v>0</v>
      </c>
      <c r="I198" s="60">
        <v>0</v>
      </c>
      <c r="J198" s="60">
        <v>0</v>
      </c>
      <c r="K198" s="60">
        <v>0</v>
      </c>
      <c r="L198" s="60">
        <v>0</v>
      </c>
      <c r="M198" s="60">
        <v>0</v>
      </c>
      <c r="N198" s="60">
        <v>0</v>
      </c>
      <c r="O198" s="60">
        <v>-35</v>
      </c>
      <c r="P198" s="60">
        <v>-35</v>
      </c>
      <c r="Q198" s="61"/>
      <c r="R198" s="61"/>
      <c r="S198" s="59" t="s">
        <v>333</v>
      </c>
      <c r="U198" s="53"/>
      <c r="V198" s="53"/>
      <c r="W198" s="53"/>
      <c r="X198" s="53"/>
      <c r="Y198" s="53"/>
      <c r="Z198" s="53"/>
      <c r="AA198" s="53"/>
      <c r="AB198" s="53"/>
      <c r="AC198" s="53"/>
      <c r="AD198" s="53"/>
      <c r="AE198" s="53"/>
      <c r="AF198" s="53"/>
      <c r="AG198" s="53"/>
    </row>
    <row r="199" spans="2:33" ht="15" customHeight="1" x14ac:dyDescent="0.25">
      <c r="B199" s="135" t="str">
        <f>HYPERLINK("https://www.pbo.gov.au/elections/2025-general-election/2025-election-commitments-costings/startup-year-loan-scheme-reprioritise", "ECR-2025-2763")</f>
        <v>ECR-2025-2763</v>
      </c>
      <c r="C199" s="59" t="s">
        <v>196</v>
      </c>
      <c r="D199" s="60">
        <v>2.9</v>
      </c>
      <c r="E199" s="60">
        <v>3.8</v>
      </c>
      <c r="F199" s="60">
        <v>5</v>
      </c>
      <c r="G199" s="60">
        <v>6</v>
      </c>
      <c r="H199" s="60">
        <v>7.3</v>
      </c>
      <c r="I199" s="60">
        <v>8.3000000000000007</v>
      </c>
      <c r="J199" s="60">
        <v>9.3000000000000007</v>
      </c>
      <c r="K199" s="60">
        <v>10.6</v>
      </c>
      <c r="L199" s="60">
        <v>11.8</v>
      </c>
      <c r="M199" s="60">
        <v>13</v>
      </c>
      <c r="N199" s="60">
        <v>14.2</v>
      </c>
      <c r="O199" s="60">
        <v>17.7</v>
      </c>
      <c r="P199" s="60">
        <v>92.2</v>
      </c>
      <c r="Q199" s="61"/>
      <c r="R199" s="61"/>
      <c r="S199" s="59" t="s">
        <v>261</v>
      </c>
      <c r="U199" s="53"/>
      <c r="V199" s="53"/>
      <c r="W199" s="53"/>
      <c r="X199" s="53"/>
      <c r="Y199" s="53"/>
      <c r="Z199" s="53"/>
      <c r="AA199" s="53"/>
      <c r="AB199" s="53"/>
      <c r="AC199" s="53"/>
      <c r="AD199" s="53"/>
      <c r="AE199" s="53"/>
      <c r="AF199" s="53"/>
      <c r="AG199" s="53"/>
    </row>
    <row r="200" spans="2:33" ht="15" customHeight="1" x14ac:dyDescent="0.25">
      <c r="B200" s="135" t="str">
        <f>HYPERLINK("https://www.pbo.gov.au/elections/2025-general-election/2025-election-commitments-costings/stay-afloat-australia-additional-support", "ECR-2025-2730")</f>
        <v>ECR-2025-2730</v>
      </c>
      <c r="C200" s="59" t="s">
        <v>179</v>
      </c>
      <c r="D200" s="60">
        <v>-1</v>
      </c>
      <c r="E200" s="60">
        <v>-1</v>
      </c>
      <c r="F200" s="60">
        <v>0</v>
      </c>
      <c r="G200" s="60">
        <v>0</v>
      </c>
      <c r="H200" s="60">
        <v>0</v>
      </c>
      <c r="I200" s="60">
        <v>0</v>
      </c>
      <c r="J200" s="60">
        <v>0</v>
      </c>
      <c r="K200" s="60">
        <v>0</v>
      </c>
      <c r="L200" s="60">
        <v>0</v>
      </c>
      <c r="M200" s="60">
        <v>0</v>
      </c>
      <c r="N200" s="60">
        <v>0</v>
      </c>
      <c r="O200" s="60">
        <v>-2</v>
      </c>
      <c r="P200" s="60">
        <v>-2</v>
      </c>
      <c r="Q200" s="61"/>
      <c r="R200" s="61"/>
      <c r="S200" s="59" t="s">
        <v>294</v>
      </c>
      <c r="U200" s="53"/>
      <c r="V200" s="53"/>
      <c r="W200" s="53"/>
      <c r="X200" s="53"/>
      <c r="Y200" s="53"/>
      <c r="Z200" s="53"/>
      <c r="AA200" s="53"/>
      <c r="AB200" s="53"/>
      <c r="AC200" s="53"/>
      <c r="AD200" s="53"/>
      <c r="AE200" s="53"/>
      <c r="AF200" s="53"/>
      <c r="AG200" s="53"/>
    </row>
    <row r="201" spans="2:33" ht="15" customHeight="1" x14ac:dyDescent="0.25">
      <c r="B201" s="135" t="str">
        <f>HYPERLINK("https://www.pbo.gov.au/elections/2025-general-election/2025-election-commitments-costings/Suicide-Prevention-Research-Fund", "ECR-2025-2194")</f>
        <v>ECR-2025-2194</v>
      </c>
      <c r="C201" s="59" t="s">
        <v>176</v>
      </c>
      <c r="D201" s="60">
        <v>-3.8</v>
      </c>
      <c r="E201" s="60">
        <v>-3.8</v>
      </c>
      <c r="F201" s="60">
        <v>-3.7</v>
      </c>
      <c r="G201" s="60">
        <v>-3.7</v>
      </c>
      <c r="H201" s="60">
        <v>0</v>
      </c>
      <c r="I201" s="60">
        <v>0</v>
      </c>
      <c r="J201" s="60">
        <v>0</v>
      </c>
      <c r="K201" s="60">
        <v>0</v>
      </c>
      <c r="L201" s="60">
        <v>0</v>
      </c>
      <c r="M201" s="60">
        <v>0</v>
      </c>
      <c r="N201" s="60">
        <v>0</v>
      </c>
      <c r="O201" s="60">
        <v>-15</v>
      </c>
      <c r="P201" s="60">
        <v>-15</v>
      </c>
      <c r="Q201" s="61"/>
      <c r="R201" s="61"/>
      <c r="S201" s="59" t="s">
        <v>344</v>
      </c>
      <c r="U201" s="53"/>
      <c r="V201" s="53"/>
      <c r="W201" s="53"/>
      <c r="X201" s="53"/>
      <c r="Y201" s="53"/>
      <c r="Z201" s="53"/>
      <c r="AA201" s="53"/>
      <c r="AB201" s="53"/>
      <c r="AC201" s="53"/>
      <c r="AD201" s="53"/>
      <c r="AE201" s="53"/>
      <c r="AF201" s="53"/>
      <c r="AG201" s="53"/>
    </row>
    <row r="202" spans="2:33" ht="15" customHeight="1" x14ac:dyDescent="0.25">
      <c r="B202" s="135" t="str">
        <f>HYPERLINK("https://www.pbo.gov.au/elections/2025-general-election/2025-election-commitments-costings/Superannuation%20on%20Paid%20Parental%20Leave%20%E2%80%93%20parental%20choice", "ECR-2025-2281")</f>
        <v>ECR-2025-2281</v>
      </c>
      <c r="C202" s="59" t="s">
        <v>224</v>
      </c>
      <c r="D202" s="60">
        <v>-287</v>
      </c>
      <c r="E202" s="60">
        <v>-41.3</v>
      </c>
      <c r="F202" s="60">
        <v>47.5</v>
      </c>
      <c r="G202" s="60">
        <v>52.7</v>
      </c>
      <c r="H202" s="60">
        <v>48.3</v>
      </c>
      <c r="I202" s="60">
        <v>43.8</v>
      </c>
      <c r="J202" s="60">
        <v>39.6</v>
      </c>
      <c r="K202" s="60">
        <v>42.7</v>
      </c>
      <c r="L202" s="60">
        <v>38</v>
      </c>
      <c r="M202" s="60">
        <v>32.5</v>
      </c>
      <c r="N202" s="60">
        <v>25</v>
      </c>
      <c r="O202" s="60">
        <v>-228.1</v>
      </c>
      <c r="P202" s="60">
        <v>41.8</v>
      </c>
      <c r="Q202" s="61"/>
      <c r="R202" s="61"/>
      <c r="S202" s="59" t="s">
        <v>345</v>
      </c>
      <c r="U202" s="53"/>
      <c r="V202" s="53"/>
      <c r="W202" s="53"/>
      <c r="X202" s="53"/>
      <c r="Y202" s="53"/>
      <c r="Z202" s="53"/>
      <c r="AA202" s="53"/>
      <c r="AB202" s="53"/>
      <c r="AC202" s="53"/>
      <c r="AD202" s="53"/>
      <c r="AE202" s="53"/>
      <c r="AF202" s="53"/>
      <c r="AG202" s="53"/>
    </row>
    <row r="203" spans="2:33" ht="15" customHeight="1" x14ac:dyDescent="0.25">
      <c r="B203" s="135" t="str">
        <f>HYPERLINK("https://www.pbo.gov.au/elections/2025-general-election/2025-election-commitments-costings/Support%20for%20Disaster%20Relief%20Australia%20for%20a%20National%20Veterans%20Volunteer%20Program", "ECR-2025-2647")</f>
        <v>ECR-2025-2647</v>
      </c>
      <c r="C203" s="59" t="s">
        <v>186</v>
      </c>
      <c r="D203" s="60">
        <v>0</v>
      </c>
      <c r="E203" s="60">
        <v>-21.5</v>
      </c>
      <c r="F203" s="60">
        <v>-21.5</v>
      </c>
      <c r="G203" s="60">
        <v>-21.5</v>
      </c>
      <c r="H203" s="60">
        <v>0</v>
      </c>
      <c r="I203" s="60">
        <v>0</v>
      </c>
      <c r="J203" s="60">
        <v>0</v>
      </c>
      <c r="K203" s="60">
        <v>0</v>
      </c>
      <c r="L203" s="60">
        <v>0</v>
      </c>
      <c r="M203" s="60">
        <v>0</v>
      </c>
      <c r="N203" s="60">
        <v>0</v>
      </c>
      <c r="O203" s="60">
        <v>-64.5</v>
      </c>
      <c r="P203" s="60">
        <v>-64.5</v>
      </c>
      <c r="Q203" s="61"/>
      <c r="R203" s="61"/>
      <c r="S203" s="59" t="s">
        <v>257</v>
      </c>
      <c r="U203" s="53"/>
      <c r="V203" s="53"/>
      <c r="W203" s="53"/>
      <c r="X203" s="53"/>
      <c r="Y203" s="53"/>
      <c r="Z203" s="53"/>
      <c r="AA203" s="53"/>
      <c r="AB203" s="53"/>
      <c r="AC203" s="53"/>
      <c r="AD203" s="53"/>
      <c r="AE203" s="53"/>
      <c r="AF203" s="53"/>
      <c r="AG203" s="53"/>
    </row>
    <row r="204" spans="2:33" ht="15" customHeight="1" x14ac:dyDescent="0.25">
      <c r="B204" s="135" t="str">
        <f>HYPERLINK("https://www.pbo.gov.au/elections/2025-general-election/2025-election-commitments-costings/Supporting%20Community%20Healthcare", "ECR-2025-2448")</f>
        <v>ECR-2025-2448</v>
      </c>
      <c r="C204" s="59" t="s">
        <v>445</v>
      </c>
      <c r="D204" s="60">
        <v>-9.9</v>
      </c>
      <c r="E204" s="60">
        <v>-5.3</v>
      </c>
      <c r="F204" s="60">
        <v>-5.3</v>
      </c>
      <c r="G204" s="60">
        <v>-5.3</v>
      </c>
      <c r="H204" s="60">
        <v>0</v>
      </c>
      <c r="I204" s="60">
        <v>0</v>
      </c>
      <c r="J204" s="60">
        <v>0</v>
      </c>
      <c r="K204" s="60">
        <v>0</v>
      </c>
      <c r="L204" s="60">
        <v>0</v>
      </c>
      <c r="M204" s="60">
        <v>0</v>
      </c>
      <c r="N204" s="60">
        <v>0</v>
      </c>
      <c r="O204" s="60">
        <v>-25.8</v>
      </c>
      <c r="P204" s="60">
        <v>-25.8</v>
      </c>
      <c r="Q204" s="61"/>
      <c r="R204" s="61"/>
      <c r="S204" s="59" t="s">
        <v>261</v>
      </c>
      <c r="U204" s="53"/>
      <c r="V204" s="53"/>
      <c r="W204" s="53"/>
      <c r="X204" s="53"/>
      <c r="Y204" s="53"/>
      <c r="Z204" s="53"/>
      <c r="AA204" s="53"/>
      <c r="AB204" s="53"/>
      <c r="AC204" s="53"/>
      <c r="AD204" s="53"/>
      <c r="AE204" s="53"/>
      <c r="AF204" s="53"/>
      <c r="AG204" s="53"/>
    </row>
    <row r="205" spans="2:33" ht="15" customHeight="1" x14ac:dyDescent="0.25">
      <c r="B205" s="135" t="str">
        <f>HYPERLINK("https://www.pbo.gov.au/elections/2025-general-election/2025-election-commitments-costings/Supporting%20the%20first%20Hindu%20faith%20school%20in%20Australia", "ECR-2025-2089")</f>
        <v>ECR-2025-2089</v>
      </c>
      <c r="C205" s="59" t="s">
        <v>446</v>
      </c>
      <c r="D205" s="60">
        <v>-1</v>
      </c>
      <c r="E205" s="60">
        <v>-2.7</v>
      </c>
      <c r="F205" s="60">
        <v>-2.6</v>
      </c>
      <c r="G205" s="60">
        <v>-2.6</v>
      </c>
      <c r="H205" s="60">
        <v>0</v>
      </c>
      <c r="I205" s="60">
        <v>0</v>
      </c>
      <c r="J205" s="60">
        <v>0</v>
      </c>
      <c r="K205" s="60">
        <v>0</v>
      </c>
      <c r="L205" s="60">
        <v>0</v>
      </c>
      <c r="M205" s="60">
        <v>0</v>
      </c>
      <c r="N205" s="60">
        <v>0</v>
      </c>
      <c r="O205" s="60">
        <v>-8.9</v>
      </c>
      <c r="P205" s="60">
        <v>-8.9</v>
      </c>
      <c r="Q205" s="61"/>
      <c r="R205" s="61"/>
      <c r="S205" s="59" t="s">
        <v>346</v>
      </c>
      <c r="U205" s="53"/>
      <c r="V205" s="53"/>
      <c r="W205" s="53"/>
      <c r="X205" s="53"/>
      <c r="Y205" s="53"/>
      <c r="Z205" s="53"/>
      <c r="AA205" s="53"/>
      <c r="AB205" s="53"/>
      <c r="AC205" s="53"/>
      <c r="AD205" s="53"/>
      <c r="AE205" s="53"/>
      <c r="AF205" s="53"/>
      <c r="AG205" s="53"/>
    </row>
    <row r="206" spans="2:33" ht="15" customHeight="1" x14ac:dyDescent="0.25">
      <c r="B206" s="135" t="str">
        <f>HYPERLINK("https://www.pbo.gov.au/elections/2025-general-election/2025-election-commitments-costings/teach-maths-australia", "ECR-2025-2580")</f>
        <v>ECR-2025-2580</v>
      </c>
      <c r="C206" s="59" t="s">
        <v>184</v>
      </c>
      <c r="D206" s="60">
        <v>-0.4</v>
      </c>
      <c r="E206" s="60">
        <v>-1.3</v>
      </c>
      <c r="F206" s="60">
        <v>-9.8000000000000007</v>
      </c>
      <c r="G206" s="60">
        <v>-18.7</v>
      </c>
      <c r="H206" s="60">
        <v>-10</v>
      </c>
      <c r="I206" s="60">
        <v>0</v>
      </c>
      <c r="J206" s="60">
        <v>0</v>
      </c>
      <c r="K206" s="60">
        <v>0</v>
      </c>
      <c r="L206" s="60">
        <v>0</v>
      </c>
      <c r="M206" s="60">
        <v>0</v>
      </c>
      <c r="N206" s="60">
        <v>0</v>
      </c>
      <c r="O206" s="60">
        <v>-30.2</v>
      </c>
      <c r="P206" s="60">
        <v>-40.200000000000003</v>
      </c>
      <c r="Q206" s="61"/>
      <c r="R206" s="61"/>
      <c r="S206" s="59" t="s">
        <v>334</v>
      </c>
      <c r="U206" s="53"/>
      <c r="V206" s="53"/>
      <c r="W206" s="53"/>
      <c r="X206" s="53"/>
      <c r="Y206" s="53"/>
      <c r="Z206" s="53"/>
      <c r="AA206" s="53"/>
      <c r="AB206" s="53"/>
      <c r="AC206" s="53"/>
      <c r="AD206" s="53"/>
      <c r="AE206" s="53"/>
      <c r="AF206" s="53"/>
      <c r="AG206" s="53"/>
    </row>
    <row r="207" spans="2:33" ht="15" customHeight="1" x14ac:dyDescent="0.25">
      <c r="B207" s="59" t="s">
        <v>124</v>
      </c>
      <c r="C207" s="59" t="s">
        <v>410</v>
      </c>
      <c r="D207" s="60">
        <v>0</v>
      </c>
      <c r="E207" s="60">
        <v>0</v>
      </c>
      <c r="F207" s="60">
        <v>0</v>
      </c>
      <c r="G207" s="60">
        <v>0</v>
      </c>
      <c r="H207" s="60">
        <v>0</v>
      </c>
      <c r="I207" s="60">
        <v>0</v>
      </c>
      <c r="J207" s="60">
        <v>0</v>
      </c>
      <c r="K207" s="60">
        <v>0</v>
      </c>
      <c r="L207" s="60">
        <v>0</v>
      </c>
      <c r="M207" s="60">
        <v>0</v>
      </c>
      <c r="N207" s="60">
        <v>0</v>
      </c>
      <c r="O207" s="60">
        <v>0</v>
      </c>
      <c r="P207" s="60">
        <v>0</v>
      </c>
      <c r="Q207" s="61"/>
      <c r="R207" s="61"/>
      <c r="S207" s="59" t="s">
        <v>261</v>
      </c>
      <c r="U207" s="53"/>
      <c r="V207" s="53"/>
      <c r="W207" s="53"/>
      <c r="X207" s="53"/>
      <c r="Y207" s="53"/>
      <c r="Z207" s="53"/>
      <c r="AA207" s="53"/>
      <c r="AB207" s="53"/>
      <c r="AC207" s="53"/>
      <c r="AD207" s="53"/>
      <c r="AE207" s="53"/>
      <c r="AF207" s="53"/>
      <c r="AG207" s="53"/>
    </row>
    <row r="208" spans="2:33" ht="15" customHeight="1" x14ac:dyDescent="0.25">
      <c r="B208" s="135" t="str">
        <f>HYPERLINK("https://www.pbo.gov.au/elections/2025-general-election/2025-election-commitments-costings/veterans-and-families-hubs", "ECR-2025-2415")</f>
        <v>ECR-2025-2415</v>
      </c>
      <c r="C208" s="59" t="s">
        <v>174</v>
      </c>
      <c r="D208" s="60">
        <v>-32.299999999999997</v>
      </c>
      <c r="E208" s="60">
        <v>0</v>
      </c>
      <c r="F208" s="60">
        <v>0</v>
      </c>
      <c r="G208" s="60">
        <v>0</v>
      </c>
      <c r="H208" s="60">
        <v>0</v>
      </c>
      <c r="I208" s="60">
        <v>0</v>
      </c>
      <c r="J208" s="60">
        <v>0</v>
      </c>
      <c r="K208" s="60">
        <v>0</v>
      </c>
      <c r="L208" s="60">
        <v>0</v>
      </c>
      <c r="M208" s="60">
        <v>0</v>
      </c>
      <c r="N208" s="60">
        <v>0</v>
      </c>
      <c r="O208" s="60">
        <v>-32.299999999999997</v>
      </c>
      <c r="P208" s="60">
        <v>-32.299999999999997</v>
      </c>
      <c r="Q208" s="61"/>
      <c r="R208" s="61"/>
      <c r="S208" s="59" t="s">
        <v>257</v>
      </c>
      <c r="U208" s="53"/>
      <c r="V208" s="53"/>
      <c r="W208" s="53"/>
      <c r="X208" s="53"/>
      <c r="Y208" s="53"/>
      <c r="Z208" s="53"/>
      <c r="AA208" s="53"/>
      <c r="AB208" s="53"/>
      <c r="AC208" s="53"/>
      <c r="AD208" s="53"/>
      <c r="AE208" s="53"/>
      <c r="AF208" s="53"/>
      <c r="AG208" s="53"/>
    </row>
    <row r="209" spans="2:33" ht="15" customHeight="1" x14ac:dyDescent="0.25">
      <c r="B209" s="135" t="str">
        <f>HYPERLINK("https://www.pbo.gov.au/elections/2025-general-election/2025-election-commitments-costings/veterans-chaplaincy-program", "ECR-2025-2595")</f>
        <v>ECR-2025-2595</v>
      </c>
      <c r="C209" s="59" t="s">
        <v>185</v>
      </c>
      <c r="D209" s="60">
        <v>-1</v>
      </c>
      <c r="E209" s="60">
        <v>-1</v>
      </c>
      <c r="F209" s="60">
        <v>-1</v>
      </c>
      <c r="G209" s="60">
        <v>-1</v>
      </c>
      <c r="H209" s="60">
        <v>0</v>
      </c>
      <c r="I209" s="60">
        <v>0</v>
      </c>
      <c r="J209" s="60">
        <v>0</v>
      </c>
      <c r="K209" s="60">
        <v>0</v>
      </c>
      <c r="L209" s="60">
        <v>0</v>
      </c>
      <c r="M209" s="60">
        <v>0</v>
      </c>
      <c r="N209" s="60">
        <v>0</v>
      </c>
      <c r="O209" s="60">
        <v>-4</v>
      </c>
      <c r="P209" s="60">
        <v>-4</v>
      </c>
      <c r="Q209" s="61"/>
      <c r="R209" s="61"/>
      <c r="S209" s="59" t="s">
        <v>257</v>
      </c>
      <c r="U209" s="53"/>
      <c r="V209" s="53"/>
      <c r="W209" s="53"/>
      <c r="X209" s="53"/>
      <c r="Y209" s="53"/>
      <c r="Z209" s="53"/>
      <c r="AA209" s="53"/>
      <c r="AB209" s="53"/>
      <c r="AC209" s="53"/>
      <c r="AD209" s="53"/>
      <c r="AE209" s="53"/>
      <c r="AF209" s="53"/>
      <c r="AG209" s="53"/>
    </row>
    <row r="210" spans="2:33" ht="15" customHeight="1" x14ac:dyDescent="0.25">
      <c r="B210" s="135" t="str">
        <f>HYPERLINK("https://www.pbo.gov.au/elections/2025-general-election/2025-election-commitments-costings/veterans-guild-support", "ECR-2025-2813")</f>
        <v>ECR-2025-2813</v>
      </c>
      <c r="C210" s="59" t="s">
        <v>181</v>
      </c>
      <c r="D210" s="60">
        <v>-1.1000000000000001</v>
      </c>
      <c r="E210" s="60">
        <v>-1.4</v>
      </c>
      <c r="F210" s="60">
        <v>-1.2</v>
      </c>
      <c r="G210" s="60">
        <v>-1.3</v>
      </c>
      <c r="H210" s="60">
        <v>0</v>
      </c>
      <c r="I210" s="60">
        <v>0</v>
      </c>
      <c r="J210" s="60">
        <v>0</v>
      </c>
      <c r="K210" s="60">
        <v>0</v>
      </c>
      <c r="L210" s="60">
        <v>0</v>
      </c>
      <c r="M210" s="60">
        <v>0</v>
      </c>
      <c r="N210" s="60">
        <v>0</v>
      </c>
      <c r="O210" s="60">
        <v>-5</v>
      </c>
      <c r="P210" s="60">
        <v>-5</v>
      </c>
      <c r="Q210" s="61"/>
      <c r="R210" s="61"/>
      <c r="S210" s="59" t="s">
        <v>257</v>
      </c>
      <c r="U210" s="53"/>
      <c r="V210" s="53"/>
      <c r="W210" s="53"/>
      <c r="X210" s="53"/>
      <c r="Y210" s="53"/>
      <c r="Z210" s="53"/>
      <c r="AA210" s="53"/>
      <c r="AB210" s="53"/>
      <c r="AC210" s="53"/>
      <c r="AD210" s="53"/>
      <c r="AE210" s="53"/>
      <c r="AF210" s="53"/>
      <c r="AG210" s="53"/>
    </row>
    <row r="211" spans="2:33" ht="15" customHeight="1" x14ac:dyDescent="0.25">
      <c r="B211" s="62" t="s">
        <v>380</v>
      </c>
      <c r="C211" s="62"/>
      <c r="D211" s="63">
        <v>-723.4</v>
      </c>
      <c r="E211" s="63">
        <v>-364.1</v>
      </c>
      <c r="F211" s="63">
        <v>-138</v>
      </c>
      <c r="G211" s="63">
        <v>-241.2</v>
      </c>
      <c r="H211" s="63">
        <v>-144.30000000000001</v>
      </c>
      <c r="I211" s="63">
        <v>-126.7</v>
      </c>
      <c r="J211" s="63">
        <v>-123.1</v>
      </c>
      <c r="K211" s="63">
        <v>-113.3</v>
      </c>
      <c r="L211" s="63">
        <v>-113.4</v>
      </c>
      <c r="M211" s="63">
        <v>-108.8</v>
      </c>
      <c r="N211" s="63">
        <v>-109.7</v>
      </c>
      <c r="O211" s="63">
        <v>-1466.7</v>
      </c>
      <c r="P211" s="63">
        <v>-2306</v>
      </c>
      <c r="Q211" s="64" t="s">
        <v>9</v>
      </c>
      <c r="R211" s="64"/>
      <c r="S211" s="62" t="s">
        <v>10</v>
      </c>
      <c r="U211" s="53"/>
      <c r="V211" s="53"/>
      <c r="W211" s="53"/>
      <c r="X211" s="53"/>
      <c r="Y211" s="53"/>
      <c r="Z211" s="53"/>
      <c r="AA211" s="53"/>
      <c r="AB211" s="53"/>
      <c r="AC211" s="53"/>
      <c r="AD211" s="53"/>
      <c r="AE211" s="53"/>
      <c r="AF211" s="53"/>
      <c r="AG211" s="53"/>
    </row>
    <row r="212" spans="2:33" ht="15" customHeight="1" x14ac:dyDescent="0.25">
      <c r="B212" s="81" t="s">
        <v>98</v>
      </c>
      <c r="C212" s="3"/>
      <c r="D212" s="55" t="s">
        <v>10</v>
      </c>
      <c r="E212" s="55" t="s">
        <v>10</v>
      </c>
      <c r="F212" s="55" t="s">
        <v>10</v>
      </c>
      <c r="G212" s="55" t="s">
        <v>10</v>
      </c>
      <c r="H212" s="55" t="s">
        <v>10</v>
      </c>
      <c r="I212" s="55" t="s">
        <v>10</v>
      </c>
      <c r="J212" s="55" t="s">
        <v>10</v>
      </c>
      <c r="K212" s="55" t="s">
        <v>10</v>
      </c>
      <c r="L212" s="55" t="s">
        <v>10</v>
      </c>
      <c r="M212" s="55" t="s">
        <v>10</v>
      </c>
      <c r="N212" s="55" t="s">
        <v>10</v>
      </c>
      <c r="O212" s="55" t="s">
        <v>10</v>
      </c>
      <c r="P212" s="55" t="s">
        <v>10</v>
      </c>
      <c r="Q212" s="4"/>
      <c r="R212" s="4"/>
      <c r="S212" s="3" t="s">
        <v>10</v>
      </c>
      <c r="U212" s="53"/>
      <c r="V212" s="53"/>
      <c r="W212" s="53"/>
      <c r="X212" s="53"/>
      <c r="Y212" s="53"/>
      <c r="Z212" s="53"/>
      <c r="AA212" s="53"/>
      <c r="AB212" s="53"/>
      <c r="AC212" s="53"/>
      <c r="AD212" s="53"/>
      <c r="AE212" s="53"/>
      <c r="AF212" s="53"/>
      <c r="AG212" s="53"/>
    </row>
    <row r="213" spans="2:33" ht="15" customHeight="1" x14ac:dyDescent="0.25">
      <c r="B213" s="135" t="str">
        <f>HYPERLINK("https://www.pbo.gov.au/elections/2025-general-election/2025-election-commitments-costings/deliver-national-gas-plan-additional-components", "ECR-2025-2506")</f>
        <v>ECR-2025-2506</v>
      </c>
      <c r="C213" s="59" t="s">
        <v>237</v>
      </c>
      <c r="D213" s="60">
        <v>-4</v>
      </c>
      <c r="E213" s="60">
        <v>-4.0999999999999996</v>
      </c>
      <c r="F213" s="60">
        <v>-4.0999999999999996</v>
      </c>
      <c r="G213" s="60">
        <v>-4.2</v>
      </c>
      <c r="H213" s="60">
        <v>-4.2</v>
      </c>
      <c r="I213" s="60">
        <v>-4.3</v>
      </c>
      <c r="J213" s="60">
        <v>-4.3</v>
      </c>
      <c r="K213" s="60">
        <v>-4.4000000000000004</v>
      </c>
      <c r="L213" s="60">
        <v>-4.5</v>
      </c>
      <c r="M213" s="60">
        <v>-4.5</v>
      </c>
      <c r="N213" s="60">
        <v>-4.5999999999999996</v>
      </c>
      <c r="O213" s="60">
        <v>-16.399999999999999</v>
      </c>
      <c r="P213" s="60">
        <v>-47.2</v>
      </c>
      <c r="Q213" s="61"/>
      <c r="R213" s="61"/>
      <c r="S213" s="59" t="s">
        <v>374</v>
      </c>
      <c r="U213" s="53"/>
      <c r="V213" s="53"/>
      <c r="W213" s="53"/>
      <c r="X213" s="53"/>
      <c r="Y213" s="53"/>
      <c r="Z213" s="53"/>
      <c r="AA213" s="53"/>
      <c r="AB213" s="53"/>
      <c r="AC213" s="53"/>
      <c r="AD213" s="53"/>
      <c r="AE213" s="53"/>
      <c r="AF213" s="53"/>
      <c r="AG213" s="53"/>
    </row>
    <row r="214" spans="2:33" ht="15" customHeight="1" x14ac:dyDescent="0.25">
      <c r="B214" s="135" t="str">
        <f>HYPERLINK("https://www.pbo.gov.au/elections/2025-general-election/2025-election-commitments-costings/deliver-national-gas-plan-east-coast-gas-reservation", "ECR-2025-2487")</f>
        <v>ECR-2025-2487</v>
      </c>
      <c r="C214" s="59" t="s">
        <v>220</v>
      </c>
      <c r="D214" s="60" t="s">
        <v>11</v>
      </c>
      <c r="E214" s="60" t="s">
        <v>11</v>
      </c>
      <c r="F214" s="60" t="s">
        <v>11</v>
      </c>
      <c r="G214" s="60" t="s">
        <v>11</v>
      </c>
      <c r="H214" s="60" t="s">
        <v>11</v>
      </c>
      <c r="I214" s="60" t="s">
        <v>11</v>
      </c>
      <c r="J214" s="60" t="s">
        <v>11</v>
      </c>
      <c r="K214" s="60" t="s">
        <v>11</v>
      </c>
      <c r="L214" s="60" t="s">
        <v>11</v>
      </c>
      <c r="M214" s="60" t="s">
        <v>11</v>
      </c>
      <c r="N214" s="60" t="s">
        <v>11</v>
      </c>
      <c r="O214" s="60" t="s">
        <v>11</v>
      </c>
      <c r="P214" s="60" t="s">
        <v>11</v>
      </c>
      <c r="Q214" s="61"/>
      <c r="R214" s="61"/>
      <c r="S214" s="59" t="s">
        <v>374</v>
      </c>
      <c r="U214" s="53"/>
      <c r="V214" s="53"/>
      <c r="W214" s="53"/>
      <c r="X214" s="53"/>
      <c r="Y214" s="53"/>
      <c r="Z214" s="53"/>
      <c r="AA214" s="53"/>
      <c r="AB214" s="53"/>
      <c r="AC214" s="53"/>
      <c r="AD214" s="53"/>
      <c r="AE214" s="53"/>
      <c r="AF214" s="53"/>
      <c r="AG214" s="53"/>
    </row>
    <row r="215" spans="2:33" ht="15" customHeight="1" x14ac:dyDescent="0.25">
      <c r="B215" s="135" t="str">
        <f>HYPERLINK("https://www.pbo.gov.au/elections/2025-general-election/2025-election-commitments-costings/Deliver-national-gas-plan-halve-environmental-approval-timelines-and-reform-offshore-gas-regulations", "ECR-2025-2390")</f>
        <v>ECR-2025-2390</v>
      </c>
      <c r="C215" s="59" t="s">
        <v>236</v>
      </c>
      <c r="D215" s="60">
        <v>-2.5</v>
      </c>
      <c r="E215" s="60">
        <v>-5</v>
      </c>
      <c r="F215" s="60">
        <v>0</v>
      </c>
      <c r="G215" s="60">
        <v>0</v>
      </c>
      <c r="H215" s="60">
        <v>0</v>
      </c>
      <c r="I215" s="60">
        <v>0</v>
      </c>
      <c r="J215" s="60">
        <v>0</v>
      </c>
      <c r="K215" s="60">
        <v>0</v>
      </c>
      <c r="L215" s="60">
        <v>0</v>
      </c>
      <c r="M215" s="60">
        <v>0</v>
      </c>
      <c r="N215" s="60">
        <v>0</v>
      </c>
      <c r="O215" s="60">
        <v>-7.5</v>
      </c>
      <c r="P215" s="60">
        <v>-7.5</v>
      </c>
      <c r="Q215" s="61"/>
      <c r="R215" s="61"/>
      <c r="S215" s="59" t="s">
        <v>374</v>
      </c>
      <c r="U215" s="53"/>
      <c r="V215" s="53"/>
      <c r="W215" s="53"/>
      <c r="X215" s="53"/>
      <c r="Y215" s="53"/>
      <c r="Z215" s="53"/>
      <c r="AA215" s="53"/>
      <c r="AB215" s="53"/>
      <c r="AC215" s="53"/>
      <c r="AD215" s="53"/>
      <c r="AE215" s="53"/>
      <c r="AF215" s="53"/>
      <c r="AG215" s="53"/>
    </row>
    <row r="216" spans="2:33" ht="15" customHeight="1" x14ac:dyDescent="0.25">
      <c r="B216" s="135" t="str">
        <f>HYPERLINK("https://www.pbo.gov.au/elections/2025-general-election/2025-election-commitments-costings/Deliver-national-gas-plan-implement-consistent-reporting-requirements-across-east-coast-gas-market", "ECR-2025-2176")</f>
        <v>ECR-2025-2176</v>
      </c>
      <c r="C216" s="59" t="s">
        <v>249</v>
      </c>
      <c r="D216" s="60">
        <v>-1.9</v>
      </c>
      <c r="E216" s="60">
        <v>-1.9</v>
      </c>
      <c r="F216" s="60">
        <v>0</v>
      </c>
      <c r="G216" s="60">
        <v>0</v>
      </c>
      <c r="H216" s="60">
        <v>0</v>
      </c>
      <c r="I216" s="60">
        <v>0</v>
      </c>
      <c r="J216" s="60">
        <v>0</v>
      </c>
      <c r="K216" s="60">
        <v>0</v>
      </c>
      <c r="L216" s="60">
        <v>0</v>
      </c>
      <c r="M216" s="60">
        <v>0</v>
      </c>
      <c r="N216" s="60">
        <v>0</v>
      </c>
      <c r="O216" s="60">
        <v>-3.8</v>
      </c>
      <c r="P216" s="60">
        <v>-3.8</v>
      </c>
      <c r="Q216" s="61"/>
      <c r="R216" s="61"/>
      <c r="S216" s="59" t="s">
        <v>374</v>
      </c>
      <c r="U216" s="53"/>
      <c r="V216" s="53"/>
      <c r="W216" s="53"/>
      <c r="X216" s="53"/>
      <c r="Y216" s="53"/>
      <c r="Z216" s="53"/>
      <c r="AA216" s="53"/>
      <c r="AB216" s="53"/>
      <c r="AC216" s="53"/>
      <c r="AD216" s="53"/>
      <c r="AE216" s="53"/>
      <c r="AF216" s="53"/>
      <c r="AG216" s="53"/>
    </row>
    <row r="217" spans="2:33" ht="15" customHeight="1" x14ac:dyDescent="0.25">
      <c r="B217" s="135" t="str">
        <f>HYPERLINK("https://www.pbo.gov.au/elections/2025-general-election/2025-election-commitments-costings/Deliver%20a%20National%20Gas%20Plan%20%E2%80%93%20introduce%20a%20gas%20security%20incentive", "ECR-2025-2363")</f>
        <v>ECR-2025-2363</v>
      </c>
      <c r="C217" s="59" t="s">
        <v>250</v>
      </c>
      <c r="D217" s="60">
        <v>-4.4000000000000004</v>
      </c>
      <c r="E217" s="60">
        <v>-4.4000000000000004</v>
      </c>
      <c r="F217" s="60">
        <v>-0.4</v>
      </c>
      <c r="G217" s="60">
        <v>-0.4</v>
      </c>
      <c r="H217" s="60">
        <v>-0.4</v>
      </c>
      <c r="I217" s="60">
        <v>-0.4</v>
      </c>
      <c r="J217" s="60">
        <v>-0.4</v>
      </c>
      <c r="K217" s="60">
        <v>-0.4</v>
      </c>
      <c r="L217" s="60">
        <v>-0.4</v>
      </c>
      <c r="M217" s="60">
        <v>-0.4</v>
      </c>
      <c r="N217" s="60">
        <v>-0.4</v>
      </c>
      <c r="O217" s="60">
        <v>-9.6</v>
      </c>
      <c r="P217" s="60">
        <v>-12.4</v>
      </c>
      <c r="Q217" s="61"/>
      <c r="R217" s="61"/>
      <c r="S217" s="59" t="s">
        <v>374</v>
      </c>
      <c r="U217" s="53"/>
      <c r="V217" s="53"/>
      <c r="W217" s="53"/>
      <c r="X217" s="53"/>
      <c r="Y217" s="53"/>
      <c r="Z217" s="53"/>
      <c r="AA217" s="53"/>
      <c r="AB217" s="53"/>
      <c r="AC217" s="53"/>
      <c r="AD217" s="53"/>
      <c r="AE217" s="53"/>
      <c r="AF217" s="53"/>
      <c r="AG217" s="53"/>
    </row>
    <row r="218" spans="2:33" ht="15" customHeight="1" x14ac:dyDescent="0.25">
      <c r="B218" s="135" t="str">
        <f>HYPERLINK("https://www.pbo.gov.au/elections/2025-general-election/2025-election-commitments-costings/deliver-national-gas-plan-reinstate-annual-acreage-releases-offshore-oil-and-gas-exploration", "ECR-2025-2398")</f>
        <v>ECR-2025-2398</v>
      </c>
      <c r="C218" s="59" t="s">
        <v>221</v>
      </c>
      <c r="D218" s="60">
        <v>-3.9</v>
      </c>
      <c r="E218" s="60">
        <v>-2.8</v>
      </c>
      <c r="F218" s="60">
        <v>-2.8</v>
      </c>
      <c r="G218" s="60">
        <v>-2.8</v>
      </c>
      <c r="H218" s="60">
        <v>-2.8</v>
      </c>
      <c r="I218" s="60">
        <v>-2.9</v>
      </c>
      <c r="J218" s="60">
        <v>-3</v>
      </c>
      <c r="K218" s="60">
        <v>-3</v>
      </c>
      <c r="L218" s="60">
        <v>-3</v>
      </c>
      <c r="M218" s="60">
        <v>-3.1</v>
      </c>
      <c r="N218" s="60">
        <v>-3.1</v>
      </c>
      <c r="O218" s="60">
        <v>-12.3</v>
      </c>
      <c r="P218" s="60">
        <v>-33.200000000000003</v>
      </c>
      <c r="Q218" s="61"/>
      <c r="R218" s="61"/>
      <c r="S218" s="59" t="s">
        <v>374</v>
      </c>
      <c r="U218" s="53"/>
      <c r="V218" s="53"/>
      <c r="W218" s="53"/>
      <c r="X218" s="53"/>
      <c r="Y218" s="53"/>
      <c r="Z218" s="53"/>
      <c r="AA218" s="53"/>
      <c r="AB218" s="53"/>
      <c r="AC218" s="53"/>
      <c r="AD218" s="53"/>
      <c r="AE218" s="53"/>
      <c r="AF218" s="53"/>
      <c r="AG218" s="53"/>
    </row>
    <row r="219" spans="2:33" ht="15" customHeight="1" x14ac:dyDescent="0.25">
      <c r="B219" s="135" t="str">
        <f>HYPERLINK("https://www.pbo.gov.au/elections/2025-general-election/2025-election-commitments-costings/Deliver%20a%20National%20Gas%20Plan%20%E2%80%93%20strengthen%20the%20Australian%20Domestic%20Gas%20Security%20Mechanism", "ECR-2025-2804")</f>
        <v>ECR-2025-2804</v>
      </c>
      <c r="C219" s="59" t="s">
        <v>234</v>
      </c>
      <c r="D219" s="60">
        <v>-0.4</v>
      </c>
      <c r="E219" s="60">
        <v>-0.4</v>
      </c>
      <c r="F219" s="60">
        <v>-0.4</v>
      </c>
      <c r="G219" s="60">
        <v>-0.4</v>
      </c>
      <c r="H219" s="60">
        <v>-0.4</v>
      </c>
      <c r="I219" s="60">
        <v>-0.4</v>
      </c>
      <c r="J219" s="60">
        <v>-0.4</v>
      </c>
      <c r="K219" s="60">
        <v>-0.4</v>
      </c>
      <c r="L219" s="60">
        <v>-0.4</v>
      </c>
      <c r="M219" s="60">
        <v>-0.4</v>
      </c>
      <c r="N219" s="60">
        <v>-0.4</v>
      </c>
      <c r="O219" s="60">
        <v>-1.6</v>
      </c>
      <c r="P219" s="60">
        <v>-4.4000000000000004</v>
      </c>
      <c r="Q219" s="61"/>
      <c r="R219" s="61"/>
      <c r="S219" s="59" t="s">
        <v>374</v>
      </c>
      <c r="U219" s="53"/>
      <c r="V219" s="53"/>
      <c r="W219" s="53"/>
      <c r="X219" s="53"/>
      <c r="Y219" s="53"/>
      <c r="Z219" s="53"/>
      <c r="AA219" s="53"/>
      <c r="AB219" s="53"/>
      <c r="AC219" s="53"/>
      <c r="AD219" s="53"/>
      <c r="AE219" s="53"/>
      <c r="AF219" s="53"/>
      <c r="AG219" s="53"/>
    </row>
    <row r="220" spans="2:33" ht="15" customHeight="1" x14ac:dyDescent="0.25">
      <c r="B220" s="135" t="str">
        <f>HYPERLINK("https://www.pbo.gov.au/elections/2025-general-election/2025-election-commitments-costings/establish-supermarket-commissioner", "ECR-2025-2573")</f>
        <v>ECR-2025-2573</v>
      </c>
      <c r="C220" s="59" t="s">
        <v>164</v>
      </c>
      <c r="D220" s="60">
        <v>-1.4</v>
      </c>
      <c r="E220" s="60">
        <v>-1</v>
      </c>
      <c r="F220" s="60">
        <v>-1</v>
      </c>
      <c r="G220" s="60">
        <v>-1</v>
      </c>
      <c r="H220" s="60">
        <v>-1</v>
      </c>
      <c r="I220" s="60">
        <v>-1</v>
      </c>
      <c r="J220" s="60">
        <v>-1</v>
      </c>
      <c r="K220" s="60">
        <v>-1</v>
      </c>
      <c r="L220" s="60">
        <v>-1</v>
      </c>
      <c r="M220" s="60">
        <v>-1.1000000000000001</v>
      </c>
      <c r="N220" s="60">
        <v>-1.1000000000000001</v>
      </c>
      <c r="O220" s="60">
        <v>-4.4000000000000004</v>
      </c>
      <c r="P220" s="60">
        <v>-11.6</v>
      </c>
      <c r="Q220" s="61"/>
      <c r="R220" s="61"/>
      <c r="S220" s="59" t="s">
        <v>312</v>
      </c>
      <c r="U220" s="53"/>
      <c r="V220" s="53"/>
      <c r="W220" s="53"/>
      <c r="X220" s="53"/>
      <c r="Y220" s="53"/>
      <c r="Z220" s="53"/>
      <c r="AA220" s="53"/>
      <c r="AB220" s="53"/>
      <c r="AC220" s="53"/>
      <c r="AD220" s="53"/>
      <c r="AE220" s="53"/>
      <c r="AF220" s="53"/>
      <c r="AG220" s="53"/>
    </row>
    <row r="221" spans="2:33" ht="15" customHeight="1" x14ac:dyDescent="0.25">
      <c r="B221" s="59" t="s">
        <v>118</v>
      </c>
      <c r="C221" s="59" t="s">
        <v>411</v>
      </c>
      <c r="D221" s="60">
        <v>0</v>
      </c>
      <c r="E221" s="60">
        <v>0</v>
      </c>
      <c r="F221" s="60">
        <v>0</v>
      </c>
      <c r="G221" s="60">
        <v>0</v>
      </c>
      <c r="H221" s="60">
        <v>0</v>
      </c>
      <c r="I221" s="60">
        <v>0</v>
      </c>
      <c r="J221" s="60">
        <v>0</v>
      </c>
      <c r="K221" s="60">
        <v>0</v>
      </c>
      <c r="L221" s="60">
        <v>0</v>
      </c>
      <c r="M221" s="60">
        <v>0</v>
      </c>
      <c r="N221" s="60">
        <v>0</v>
      </c>
      <c r="O221" s="60">
        <v>0</v>
      </c>
      <c r="P221" s="60">
        <v>0</v>
      </c>
      <c r="Q221" s="61"/>
      <c r="R221" s="61"/>
      <c r="S221" s="59" t="s">
        <v>261</v>
      </c>
      <c r="U221" s="53"/>
      <c r="V221" s="53"/>
      <c r="W221" s="53"/>
      <c r="X221" s="53"/>
      <c r="Y221" s="53"/>
      <c r="Z221" s="53"/>
      <c r="AA221" s="53"/>
      <c r="AB221" s="53"/>
      <c r="AC221" s="53"/>
      <c r="AD221" s="53"/>
      <c r="AE221" s="53"/>
      <c r="AF221" s="53"/>
      <c r="AG221" s="53"/>
    </row>
    <row r="222" spans="2:33" ht="15" customHeight="1" x14ac:dyDescent="0.25">
      <c r="B222" s="135" t="str">
        <f>HYPERLINK("https://www.pbo.gov.au/elections/2025-general-election/2025-election-commitments-costings/Future%20Generations%20Fund%20and%20Regional%20Australia%20Future%20Fund", "ECR-2025-2651")</f>
        <v>ECR-2025-2651</v>
      </c>
      <c r="C222" s="59" t="s">
        <v>251</v>
      </c>
      <c r="D222" s="60">
        <v>0</v>
      </c>
      <c r="E222" s="60">
        <v>2</v>
      </c>
      <c r="F222" s="60">
        <v>-44</v>
      </c>
      <c r="G222" s="60">
        <v>-31</v>
      </c>
      <c r="H222" s="60">
        <v>-22</v>
      </c>
      <c r="I222" s="60">
        <v>-12</v>
      </c>
      <c r="J222" s="60">
        <v>0</v>
      </c>
      <c r="K222" s="60">
        <v>14</v>
      </c>
      <c r="L222" s="60">
        <v>28</v>
      </c>
      <c r="M222" s="60">
        <v>43</v>
      </c>
      <c r="N222" s="60">
        <v>61</v>
      </c>
      <c r="O222" s="60">
        <v>-73</v>
      </c>
      <c r="P222" s="60">
        <v>39</v>
      </c>
      <c r="Q222" s="61"/>
      <c r="R222" s="61"/>
      <c r="S222" s="59" t="s">
        <v>313</v>
      </c>
      <c r="U222" s="53"/>
      <c r="V222" s="53"/>
      <c r="W222" s="53"/>
      <c r="X222" s="53"/>
      <c r="Y222" s="53"/>
      <c r="Z222" s="53"/>
      <c r="AA222" s="53"/>
      <c r="AB222" s="53"/>
      <c r="AC222" s="53"/>
      <c r="AD222" s="53"/>
      <c r="AE222" s="53"/>
      <c r="AF222" s="53"/>
      <c r="AG222" s="53"/>
    </row>
    <row r="223" spans="2:33" ht="15" customHeight="1" x14ac:dyDescent="0.25">
      <c r="B223" s="135" t="str">
        <f>HYPERLINK("https://www.pbo.gov.au/elections/2025-general-election/2025-election-commitments-costings/Halt-further-water-buybacks-currently-included-budget", "ECR-2025-2333")</f>
        <v>ECR-2025-2333</v>
      </c>
      <c r="C223" s="59" t="s">
        <v>235</v>
      </c>
      <c r="D223" s="60" t="s">
        <v>375</v>
      </c>
      <c r="E223" s="60" t="s">
        <v>375</v>
      </c>
      <c r="F223" s="60" t="s">
        <v>375</v>
      </c>
      <c r="G223" s="60" t="s">
        <v>375</v>
      </c>
      <c r="H223" s="60" t="s">
        <v>375</v>
      </c>
      <c r="I223" s="60" t="s">
        <v>375</v>
      </c>
      <c r="J223" s="60" t="s">
        <v>375</v>
      </c>
      <c r="K223" s="60" t="s">
        <v>375</v>
      </c>
      <c r="L223" s="60" t="s">
        <v>375</v>
      </c>
      <c r="M223" s="60" t="s">
        <v>375</v>
      </c>
      <c r="N223" s="60" t="s">
        <v>375</v>
      </c>
      <c r="O223" s="60" t="s">
        <v>375</v>
      </c>
      <c r="P223" s="60" t="s">
        <v>375</v>
      </c>
      <c r="Q223" s="61"/>
      <c r="R223" s="61"/>
      <c r="S223" s="59" t="s">
        <v>317</v>
      </c>
      <c r="U223" s="53"/>
      <c r="V223" s="53"/>
      <c r="W223" s="53"/>
      <c r="X223" s="53"/>
      <c r="Y223" s="53"/>
      <c r="Z223" s="53"/>
      <c r="AA223" s="53"/>
      <c r="AB223" s="53"/>
      <c r="AC223" s="53"/>
      <c r="AD223" s="53"/>
      <c r="AE223" s="53"/>
      <c r="AF223" s="53"/>
      <c r="AG223" s="53"/>
    </row>
    <row r="224" spans="2:33" ht="15" customHeight="1" x14ac:dyDescent="0.25">
      <c r="B224" s="135" t="str">
        <f>HYPERLINK("https://www.pbo.gov.au/elections/2025-general-election/2025-election-commitments-costings/Increase-total-funding-available-through-Australian-Infrastructure-Financing-Facility-for-Pacific", "ECR-2025-2074")</f>
        <v>ECR-2025-2074</v>
      </c>
      <c r="C224" s="59" t="s">
        <v>361</v>
      </c>
      <c r="D224" s="60">
        <v>0</v>
      </c>
      <c r="E224" s="60">
        <v>0</v>
      </c>
      <c r="F224" s="60">
        <v>0</v>
      </c>
      <c r="G224" s="60">
        <v>0</v>
      </c>
      <c r="H224" s="60">
        <v>-3.3</v>
      </c>
      <c r="I224" s="60">
        <v>-1.9</v>
      </c>
      <c r="J224" s="60">
        <v>-1.7</v>
      </c>
      <c r="K224" s="60">
        <v>-1.4</v>
      </c>
      <c r="L224" s="60">
        <v>-1.1000000000000001</v>
      </c>
      <c r="M224" s="60">
        <v>-0.6</v>
      </c>
      <c r="N224" s="60">
        <v>-0.4</v>
      </c>
      <c r="O224" s="60" t="s">
        <v>463</v>
      </c>
      <c r="P224" s="60">
        <v>-10.4</v>
      </c>
      <c r="Q224" s="61"/>
      <c r="R224" s="61"/>
      <c r="S224" s="59" t="s">
        <v>367</v>
      </c>
      <c r="U224" s="53"/>
      <c r="V224" s="53"/>
      <c r="W224" s="53"/>
      <c r="X224" s="53"/>
      <c r="Y224" s="53"/>
      <c r="Z224" s="53"/>
      <c r="AA224" s="53"/>
      <c r="AB224" s="53"/>
      <c r="AC224" s="53"/>
      <c r="AD224" s="53"/>
      <c r="AE224" s="53"/>
      <c r="AF224" s="53"/>
      <c r="AG224" s="53"/>
    </row>
    <row r="225" spans="2:33" ht="15" customHeight="1" x14ac:dyDescent="0.25">
      <c r="B225" s="135" t="str">
        <f>HYPERLINK("https://www.pbo.gov.au/elections/2025-general-election/2025-election-commitments-costings/Introduce-digital-alternative-cash-no-surcharge", "ECR-2025-2856")</f>
        <v>ECR-2025-2856</v>
      </c>
      <c r="C225" s="59" t="s">
        <v>204</v>
      </c>
      <c r="D225" s="60" t="s">
        <v>11</v>
      </c>
      <c r="E225" s="60" t="s">
        <v>11</v>
      </c>
      <c r="F225" s="60" t="s">
        <v>11</v>
      </c>
      <c r="G225" s="60" t="s">
        <v>11</v>
      </c>
      <c r="H225" s="60" t="s">
        <v>11</v>
      </c>
      <c r="I225" s="60" t="s">
        <v>11</v>
      </c>
      <c r="J225" s="60" t="s">
        <v>11</v>
      </c>
      <c r="K225" s="60" t="s">
        <v>11</v>
      </c>
      <c r="L225" s="60" t="s">
        <v>11</v>
      </c>
      <c r="M225" s="60" t="s">
        <v>11</v>
      </c>
      <c r="N225" s="60" t="s">
        <v>11</v>
      </c>
      <c r="O225" s="60" t="s">
        <v>11</v>
      </c>
      <c r="P225" s="60" t="s">
        <v>11</v>
      </c>
      <c r="Q225" s="61"/>
      <c r="R225" s="61"/>
      <c r="S225" s="59" t="s">
        <v>314</v>
      </c>
      <c r="U225" s="53"/>
      <c r="V225" s="53"/>
      <c r="W225" s="53"/>
      <c r="X225" s="53"/>
      <c r="Y225" s="53"/>
      <c r="Z225" s="53"/>
      <c r="AA225" s="53"/>
      <c r="AB225" s="53"/>
      <c r="AC225" s="53"/>
      <c r="AD225" s="53"/>
      <c r="AE225" s="53"/>
      <c r="AF225" s="53"/>
      <c r="AG225" s="53"/>
    </row>
    <row r="226" spans="2:33" ht="15" customHeight="1" x14ac:dyDescent="0.25">
      <c r="B226" s="135" t="str">
        <f>HYPERLINK("https://www.pbo.gov.au/elections/2025-general-election/2025-election-commitments-costings/Maintain%20Australian%20Border%20Force%20presence%20at%20Hobart%20Airport", "ECR-2025-2200")</f>
        <v>ECR-2025-2200</v>
      </c>
      <c r="C226" s="59" t="s">
        <v>205</v>
      </c>
      <c r="D226" s="60">
        <v>0</v>
      </c>
      <c r="E226" s="60">
        <v>-6.9</v>
      </c>
      <c r="F226" s="60">
        <v>-7</v>
      </c>
      <c r="G226" s="60">
        <v>-7.2</v>
      </c>
      <c r="H226" s="60">
        <v>-3.7</v>
      </c>
      <c r="I226" s="60">
        <v>0</v>
      </c>
      <c r="J226" s="60">
        <v>0</v>
      </c>
      <c r="K226" s="60">
        <v>0</v>
      </c>
      <c r="L226" s="60">
        <v>0</v>
      </c>
      <c r="M226" s="60">
        <v>0</v>
      </c>
      <c r="N226" s="60">
        <v>0</v>
      </c>
      <c r="O226" s="60">
        <v>-21.1</v>
      </c>
      <c r="P226" s="60">
        <v>-24.8</v>
      </c>
      <c r="Q226" s="61"/>
      <c r="R226" s="61"/>
      <c r="S226" s="59" t="s">
        <v>315</v>
      </c>
      <c r="U226" s="53"/>
      <c r="V226" s="53"/>
      <c r="W226" s="53"/>
      <c r="X226" s="53"/>
      <c r="Y226" s="53"/>
      <c r="Z226" s="53"/>
      <c r="AA226" s="53"/>
      <c r="AB226" s="53"/>
      <c r="AC226" s="53"/>
      <c r="AD226" s="53"/>
      <c r="AE226" s="53"/>
      <c r="AF226" s="53"/>
      <c r="AG226" s="53"/>
    </row>
    <row r="227" spans="2:33" ht="15" customHeight="1" x14ac:dyDescent="0.25">
      <c r="B227" s="135" t="str">
        <f>HYPERLINK("https://www.pbo.gov.au/elections/2025-general-election/2025-election-commitments-costings/reinstate-50-pass-mark-required-hecs-help-loans", "ECR-2025-2764")</f>
        <v>ECR-2025-2764</v>
      </c>
      <c r="C227" s="59" t="s">
        <v>222</v>
      </c>
      <c r="D227" s="60">
        <v>0.1</v>
      </c>
      <c r="E227" s="60">
        <v>0.9</v>
      </c>
      <c r="F227" s="60">
        <v>2.4</v>
      </c>
      <c r="G227" s="60">
        <v>4.0999999999999996</v>
      </c>
      <c r="H227" s="60">
        <v>5.9</v>
      </c>
      <c r="I227" s="60">
        <v>7.8</v>
      </c>
      <c r="J227" s="60">
        <v>9.6999999999999993</v>
      </c>
      <c r="K227" s="60">
        <v>11.7</v>
      </c>
      <c r="L227" s="60">
        <v>13.7</v>
      </c>
      <c r="M227" s="60">
        <v>15.7</v>
      </c>
      <c r="N227" s="60">
        <v>17.8</v>
      </c>
      <c r="O227" s="60">
        <v>7.5</v>
      </c>
      <c r="P227" s="60">
        <v>89.8</v>
      </c>
      <c r="Q227" s="61"/>
      <c r="R227" s="61"/>
      <c r="S227" s="59" t="s">
        <v>292</v>
      </c>
      <c r="U227" s="53"/>
      <c r="V227" s="53"/>
      <c r="W227" s="53"/>
      <c r="X227" s="53"/>
      <c r="Y227" s="53"/>
      <c r="Z227" s="53"/>
      <c r="AA227" s="53"/>
      <c r="AB227" s="53"/>
      <c r="AC227" s="53"/>
      <c r="AD227" s="53"/>
      <c r="AE227" s="53"/>
      <c r="AF227" s="53"/>
      <c r="AG227" s="53"/>
    </row>
    <row r="228" spans="2:33" ht="15" customHeight="1" x14ac:dyDescent="0.25">
      <c r="B228" s="135" t="str">
        <f>HYPERLINK("https://www.pbo.gov.au/elections/2025-general-election/2025-election-commitments-costings/Reinstate-8020-federal-funding-model-nationally-significant-road-projects-regional-and-remote-australia", "ECR-2025-2612")</f>
        <v>ECR-2025-2612</v>
      </c>
      <c r="C228" s="59" t="s">
        <v>238</v>
      </c>
      <c r="D228" s="60" t="s">
        <v>11</v>
      </c>
      <c r="E228" s="60" t="s">
        <v>11</v>
      </c>
      <c r="F228" s="60" t="s">
        <v>11</v>
      </c>
      <c r="G228" s="60" t="s">
        <v>11</v>
      </c>
      <c r="H228" s="60" t="s">
        <v>11</v>
      </c>
      <c r="I228" s="60" t="s">
        <v>11</v>
      </c>
      <c r="J228" s="60" t="s">
        <v>11</v>
      </c>
      <c r="K228" s="60" t="s">
        <v>11</v>
      </c>
      <c r="L228" s="60" t="s">
        <v>11</v>
      </c>
      <c r="M228" s="60" t="s">
        <v>11</v>
      </c>
      <c r="N228" s="60" t="s">
        <v>11</v>
      </c>
      <c r="O228" s="60" t="s">
        <v>11</v>
      </c>
      <c r="P228" s="60" t="s">
        <v>11</v>
      </c>
      <c r="Q228" s="61"/>
      <c r="R228" s="61"/>
      <c r="S228" s="59" t="s">
        <v>316</v>
      </c>
      <c r="U228" s="53"/>
      <c r="V228" s="53"/>
      <c r="W228" s="53"/>
      <c r="X228" s="53"/>
      <c r="Y228" s="53"/>
      <c r="Z228" s="53"/>
      <c r="AA228" s="53"/>
      <c r="AB228" s="53"/>
      <c r="AC228" s="53"/>
      <c r="AD228" s="53"/>
      <c r="AE228" s="53"/>
      <c r="AF228" s="53"/>
      <c r="AG228" s="53"/>
    </row>
    <row r="229" spans="2:33" ht="15" customHeight="1" x14ac:dyDescent="0.25">
      <c r="B229" s="62" t="s">
        <v>381</v>
      </c>
      <c r="C229" s="62"/>
      <c r="D229" s="63">
        <v>-18.399999999999999</v>
      </c>
      <c r="E229" s="63">
        <v>-23.6</v>
      </c>
      <c r="F229" s="63">
        <v>-57.3</v>
      </c>
      <c r="G229" s="63">
        <v>-42.9</v>
      </c>
      <c r="H229" s="63">
        <v>-31.9</v>
      </c>
      <c r="I229" s="63">
        <v>-15.1</v>
      </c>
      <c r="J229" s="63">
        <v>-1.1000000000000001</v>
      </c>
      <c r="K229" s="63">
        <v>15.1</v>
      </c>
      <c r="L229" s="63">
        <v>31.3</v>
      </c>
      <c r="M229" s="63">
        <v>48.6</v>
      </c>
      <c r="N229" s="63">
        <v>68.8</v>
      </c>
      <c r="O229" s="63">
        <v>-142.19999999999999</v>
      </c>
      <c r="P229" s="63">
        <v>-26.5</v>
      </c>
      <c r="Q229" s="64" t="s">
        <v>9</v>
      </c>
      <c r="R229" s="64"/>
      <c r="S229" s="62" t="s">
        <v>10</v>
      </c>
      <c r="U229" s="53"/>
      <c r="V229" s="53"/>
      <c r="W229" s="53"/>
      <c r="X229" s="53"/>
      <c r="Y229" s="53"/>
      <c r="Z229" s="53"/>
      <c r="AA229" s="53"/>
      <c r="AB229" s="53"/>
      <c r="AC229" s="53"/>
      <c r="AD229" s="53"/>
      <c r="AE229" s="53"/>
      <c r="AF229" s="53"/>
      <c r="AG229" s="53"/>
    </row>
    <row r="230" spans="2:33" ht="15" customHeight="1" x14ac:dyDescent="0.25">
      <c r="B230" s="3" t="s">
        <v>13</v>
      </c>
      <c r="C230" s="3"/>
      <c r="D230" s="55">
        <v>-105.5</v>
      </c>
      <c r="E230" s="55">
        <v>-318.60000000000002</v>
      </c>
      <c r="F230" s="55">
        <v>-373.9</v>
      </c>
      <c r="G230" s="55">
        <v>-106.4</v>
      </c>
      <c r="H230" s="55">
        <v>331.9</v>
      </c>
      <c r="I230" s="55">
        <v>784.6</v>
      </c>
      <c r="J230" s="55">
        <v>1075.4000000000001</v>
      </c>
      <c r="K230" s="55">
        <v>1180.5</v>
      </c>
      <c r="L230" s="55">
        <v>1074.4000000000001</v>
      </c>
      <c r="M230" s="55">
        <v>705.8</v>
      </c>
      <c r="N230" s="55">
        <v>113.9</v>
      </c>
      <c r="O230" s="55">
        <v>-904.4</v>
      </c>
      <c r="P230" s="55">
        <v>4362.1000000000004</v>
      </c>
      <c r="Q230" s="5" t="s">
        <v>14</v>
      </c>
      <c r="R230" s="4"/>
      <c r="S230" s="3"/>
      <c r="U230" s="53"/>
      <c r="V230" s="53"/>
      <c r="W230" s="53"/>
      <c r="X230" s="53"/>
      <c r="Y230" s="53"/>
      <c r="Z230" s="53"/>
      <c r="AA230" s="53"/>
      <c r="AB230" s="53"/>
      <c r="AC230" s="53"/>
      <c r="AD230" s="53"/>
      <c r="AE230" s="53"/>
      <c r="AF230" s="53"/>
      <c r="AG230" s="53"/>
    </row>
    <row r="231" spans="2:33" ht="15" customHeight="1" x14ac:dyDescent="0.25">
      <c r="B231" s="6" t="s">
        <v>616</v>
      </c>
      <c r="C231" s="6"/>
      <c r="D231" s="56">
        <v>-5702.3</v>
      </c>
      <c r="E231" s="56">
        <v>-4840.3</v>
      </c>
      <c r="F231" s="56">
        <v>7456.6</v>
      </c>
      <c r="G231" s="56">
        <v>9496.9</v>
      </c>
      <c r="H231" s="56">
        <v>14672.1</v>
      </c>
      <c r="I231" s="56">
        <v>8935.5</v>
      </c>
      <c r="J231" s="56">
        <v>5596.3</v>
      </c>
      <c r="K231" s="56">
        <v>627.70000000000005</v>
      </c>
      <c r="L231" s="56">
        <v>-4739</v>
      </c>
      <c r="M231" s="56">
        <v>-11789.5</v>
      </c>
      <c r="N231" s="56">
        <v>-13675</v>
      </c>
      <c r="O231" s="56">
        <v>6598.6</v>
      </c>
      <c r="P231" s="56">
        <v>6226.8</v>
      </c>
      <c r="Q231" s="7" t="s">
        <v>15</v>
      </c>
      <c r="R231" s="7" t="s">
        <v>16</v>
      </c>
      <c r="S231" s="6"/>
      <c r="T231" s="79"/>
      <c r="U231" s="53"/>
      <c r="V231" s="53"/>
      <c r="W231" s="53"/>
      <c r="X231" s="53"/>
      <c r="Y231" s="53"/>
      <c r="Z231" s="53"/>
      <c r="AA231" s="53"/>
      <c r="AB231" s="53"/>
      <c r="AC231" s="53"/>
      <c r="AD231" s="53"/>
      <c r="AE231" s="53"/>
      <c r="AF231" s="53"/>
      <c r="AG231" s="53"/>
    </row>
    <row r="232" spans="2:33" ht="15" customHeight="1" x14ac:dyDescent="0.25">
      <c r="B232" s="58" t="s">
        <v>17</v>
      </c>
      <c r="C232" s="3"/>
      <c r="D232" s="55"/>
      <c r="E232" s="55"/>
      <c r="F232" s="55"/>
      <c r="G232" s="55"/>
      <c r="H232" s="55"/>
      <c r="I232" s="55"/>
      <c r="J232" s="55"/>
      <c r="K232" s="55"/>
      <c r="L232" s="55"/>
      <c r="M232" s="55"/>
      <c r="N232" s="55"/>
      <c r="O232" s="55"/>
      <c r="P232" s="55"/>
      <c r="Q232" s="4"/>
      <c r="R232" s="4"/>
      <c r="S232" s="3"/>
      <c r="T232" s="80"/>
      <c r="U232" s="53"/>
      <c r="V232" s="53"/>
      <c r="W232" s="53"/>
      <c r="X232" s="53"/>
      <c r="Y232" s="53"/>
      <c r="Z232" s="53"/>
      <c r="AA232" s="53"/>
      <c r="AB232" s="53"/>
      <c r="AC232" s="53"/>
      <c r="AD232" s="53"/>
      <c r="AE232" s="53"/>
      <c r="AF232" s="53"/>
      <c r="AG232" s="53"/>
    </row>
    <row r="233" spans="2:33" ht="15" customHeight="1" x14ac:dyDescent="0.25">
      <c r="B233" s="58" t="s">
        <v>18</v>
      </c>
      <c r="C233" s="3"/>
      <c r="D233" s="55">
        <v>963.1</v>
      </c>
      <c r="E233" s="55">
        <v>1267.7</v>
      </c>
      <c r="F233" s="55">
        <v>1431.4</v>
      </c>
      <c r="G233" s="55">
        <v>1680.4</v>
      </c>
      <c r="H233" s="55">
        <v>1893.8</v>
      </c>
      <c r="I233" s="55">
        <v>1997.7</v>
      </c>
      <c r="J233" s="55">
        <v>1977.8</v>
      </c>
      <c r="K233" s="55">
        <v>1888.4</v>
      </c>
      <c r="L233" s="55">
        <v>1763.9</v>
      </c>
      <c r="M233" s="55">
        <v>1573.5</v>
      </c>
      <c r="N233" s="55">
        <v>1312.3</v>
      </c>
      <c r="O233" s="55">
        <v>5354.2</v>
      </c>
      <c r="P233" s="55">
        <v>17761.599999999999</v>
      </c>
      <c r="Q233" s="4" t="s">
        <v>19</v>
      </c>
      <c r="R233" s="4"/>
      <c r="S233" s="3"/>
      <c r="U233" s="53"/>
      <c r="V233" s="53"/>
      <c r="W233" s="53"/>
      <c r="X233" s="53"/>
      <c r="Y233" s="53"/>
      <c r="Z233" s="53"/>
      <c r="AA233" s="53"/>
      <c r="AB233" s="53"/>
      <c r="AC233" s="53"/>
      <c r="AD233" s="53"/>
      <c r="AE233" s="53"/>
      <c r="AF233" s="53"/>
      <c r="AG233" s="53"/>
    </row>
    <row r="234" spans="2:33" ht="14.45" customHeight="1" x14ac:dyDescent="0.25">
      <c r="B234" s="135" t="s">
        <v>382</v>
      </c>
      <c r="C234" s="59" t="s">
        <v>389</v>
      </c>
      <c r="D234" s="60" t="s">
        <v>12</v>
      </c>
      <c r="E234" s="60">
        <v>-10</v>
      </c>
      <c r="F234" s="60">
        <v>-30</v>
      </c>
      <c r="G234" s="60">
        <v>-60</v>
      </c>
      <c r="H234" s="60">
        <v>-130</v>
      </c>
      <c r="I234" s="60">
        <v>-250</v>
      </c>
      <c r="J234" s="60">
        <v>-440</v>
      </c>
      <c r="K234" s="60">
        <v>-690</v>
      </c>
      <c r="L234" s="60">
        <v>-980</v>
      </c>
      <c r="M234" s="60">
        <v>-1340</v>
      </c>
      <c r="N234" s="60">
        <v>-1810</v>
      </c>
      <c r="O234" s="60">
        <v>-100</v>
      </c>
      <c r="P234" s="60">
        <v>-5740</v>
      </c>
      <c r="Q234" s="61"/>
      <c r="R234" s="61"/>
      <c r="S234" s="59" t="s">
        <v>261</v>
      </c>
      <c r="U234" s="53"/>
      <c r="V234" s="53"/>
      <c r="W234" s="53"/>
      <c r="X234" s="53"/>
      <c r="Y234" s="53"/>
      <c r="Z234" s="53"/>
      <c r="AA234" s="53"/>
      <c r="AB234" s="53"/>
      <c r="AC234" s="53"/>
      <c r="AD234" s="53"/>
      <c r="AE234" s="53"/>
      <c r="AF234" s="53"/>
      <c r="AG234" s="53"/>
    </row>
    <row r="235" spans="2:33" ht="15" customHeight="1" x14ac:dyDescent="0.25">
      <c r="B235" s="136" t="str">
        <f>HYPERLINK("https://www.pbo.gov.au/elections/2025-general-election/2025-election-commitments-costings/cease-undersubscribed-covid-era-securitisation-measures", "ECR-2025-2065")</f>
        <v>ECR-2025-2065</v>
      </c>
      <c r="C235" s="59" t="s">
        <v>194</v>
      </c>
      <c r="D235" s="60">
        <v>511</v>
      </c>
      <c r="E235" s="60">
        <v>684</v>
      </c>
      <c r="F235" s="60">
        <v>688</v>
      </c>
      <c r="G235" s="60">
        <v>694</v>
      </c>
      <c r="H235" s="60">
        <v>699</v>
      </c>
      <c r="I235" s="60">
        <v>705</v>
      </c>
      <c r="J235" s="60">
        <v>711</v>
      </c>
      <c r="K235" s="60">
        <v>717</v>
      </c>
      <c r="L235" s="60">
        <v>724</v>
      </c>
      <c r="M235" s="60">
        <v>731</v>
      </c>
      <c r="N235" s="60">
        <v>755</v>
      </c>
      <c r="O235" s="60">
        <v>2577</v>
      </c>
      <c r="P235" s="60">
        <v>7619</v>
      </c>
      <c r="Q235" s="61"/>
      <c r="R235" s="61"/>
      <c r="S235" s="59" t="s">
        <v>261</v>
      </c>
      <c r="U235" s="53"/>
      <c r="V235" s="53"/>
      <c r="W235" s="53"/>
      <c r="X235" s="53"/>
      <c r="Y235" s="53"/>
      <c r="Z235" s="53"/>
      <c r="AA235" s="53"/>
      <c r="AB235" s="53"/>
      <c r="AC235" s="53"/>
      <c r="AD235" s="53"/>
      <c r="AE235" s="53"/>
      <c r="AF235" s="53"/>
      <c r="AG235" s="53"/>
    </row>
    <row r="236" spans="2:33" ht="15" customHeight="1" x14ac:dyDescent="0.25">
      <c r="B236" s="136" t="str">
        <f>HYPERLINK("https://www.pbo.gov.au/elections/2025-general-election/2025-election-commitments-costings/Increase-total-funding-available-through-Australian-Infrastructure-Financing-Facility-for-Pacific", "ECR-2025-2074")</f>
        <v>ECR-2025-2074</v>
      </c>
      <c r="C236" s="59" t="s">
        <v>361</v>
      </c>
      <c r="D236" s="60">
        <v>0</v>
      </c>
      <c r="E236" s="60">
        <v>0</v>
      </c>
      <c r="F236" s="60">
        <v>0</v>
      </c>
      <c r="G236" s="60">
        <v>0</v>
      </c>
      <c r="H236" s="60">
        <v>-3.2</v>
      </c>
      <c r="I236" s="60">
        <v>-10.4</v>
      </c>
      <c r="J236" s="60">
        <v>-18.399999999999999</v>
      </c>
      <c r="K236" s="60">
        <v>-25.9</v>
      </c>
      <c r="L236" s="60">
        <v>-33</v>
      </c>
      <c r="M236" s="60">
        <v>-39.6</v>
      </c>
      <c r="N236" s="60">
        <v>-45.9</v>
      </c>
      <c r="O236" s="60">
        <v>0</v>
      </c>
      <c r="P236" s="60">
        <v>-176.4</v>
      </c>
      <c r="Q236" s="61"/>
      <c r="R236" s="61"/>
      <c r="S236" s="59" t="s">
        <v>367</v>
      </c>
      <c r="U236" s="53"/>
      <c r="V236" s="53"/>
      <c r="W236" s="53"/>
      <c r="X236" s="53"/>
      <c r="Y236" s="53"/>
      <c r="Z236" s="53"/>
      <c r="AA236" s="53"/>
      <c r="AB236" s="53"/>
      <c r="AC236" s="53"/>
      <c r="AD236" s="53"/>
      <c r="AE236" s="53"/>
      <c r="AF236" s="53"/>
      <c r="AG236" s="53"/>
    </row>
    <row r="237" spans="2:33" ht="15" customHeight="1" x14ac:dyDescent="0.25">
      <c r="B237" s="136" t="str">
        <f>HYPERLINK("https://www.pbo.gov.au/elections/2025-general-election/2025-election-commitments-costings/Rewiring%20the%20Nation%20Fund%20%E2%80%93%20unwind%20and%20redirect", "ECR-2025-2173")</f>
        <v>ECR-2025-2173</v>
      </c>
      <c r="C237" s="59" t="s">
        <v>172</v>
      </c>
      <c r="D237" s="60">
        <v>5.5</v>
      </c>
      <c r="E237" s="60">
        <v>13.3</v>
      </c>
      <c r="F237" s="60">
        <v>16.100000000000001</v>
      </c>
      <c r="G237" s="60">
        <v>17.100000000000001</v>
      </c>
      <c r="H237" s="60">
        <v>17.899999999999999</v>
      </c>
      <c r="I237" s="60">
        <v>18.7</v>
      </c>
      <c r="J237" s="60">
        <v>19.600000000000001</v>
      </c>
      <c r="K237" s="60">
        <v>20.399999999999999</v>
      </c>
      <c r="L237" s="60">
        <v>21.4</v>
      </c>
      <c r="M237" s="60">
        <v>22.3</v>
      </c>
      <c r="N237" s="60">
        <v>23.5</v>
      </c>
      <c r="O237" s="60">
        <v>52</v>
      </c>
      <c r="P237" s="60">
        <v>195.8</v>
      </c>
      <c r="Q237" s="61"/>
      <c r="R237" s="61"/>
      <c r="S237" s="59" t="s">
        <v>261</v>
      </c>
      <c r="U237" s="53"/>
      <c r="V237" s="53"/>
      <c r="W237" s="53"/>
      <c r="X237" s="53"/>
      <c r="Y237" s="53"/>
      <c r="Z237" s="53"/>
      <c r="AA237" s="53"/>
      <c r="AB237" s="53"/>
      <c r="AC237" s="53"/>
      <c r="AD237" s="53"/>
      <c r="AE237" s="53"/>
      <c r="AF237" s="53"/>
      <c r="AG237" s="53"/>
    </row>
    <row r="238" spans="2:33" ht="15" customHeight="1" x14ac:dyDescent="0.25">
      <c r="B238" s="136" t="str">
        <f>HYPERLINK("https://www.pbo.gov.au/elections/2025-general-election/2025-election-commitments-costings/housing-australia-future-fund-unwind", "ECR-2025-2184")</f>
        <v>ECR-2025-2184</v>
      </c>
      <c r="C238" s="59" t="s">
        <v>168</v>
      </c>
      <c r="D238" s="60">
        <v>358</v>
      </c>
      <c r="E238" s="60">
        <v>497</v>
      </c>
      <c r="F238" s="60">
        <v>526</v>
      </c>
      <c r="G238" s="60">
        <v>556</v>
      </c>
      <c r="H238" s="60">
        <v>587</v>
      </c>
      <c r="I238" s="60">
        <v>621</v>
      </c>
      <c r="J238" s="60">
        <v>657</v>
      </c>
      <c r="K238" s="60">
        <v>695</v>
      </c>
      <c r="L238" s="60">
        <v>736</v>
      </c>
      <c r="M238" s="60">
        <v>780</v>
      </c>
      <c r="N238" s="60">
        <v>839</v>
      </c>
      <c r="O238" s="60">
        <v>1937</v>
      </c>
      <c r="P238" s="60">
        <v>6852</v>
      </c>
      <c r="Q238" s="61"/>
      <c r="R238" s="61"/>
      <c r="S238" s="59" t="s">
        <v>322</v>
      </c>
      <c r="U238" s="53"/>
      <c r="V238" s="53"/>
      <c r="W238" s="53"/>
      <c r="X238" s="53"/>
      <c r="Y238" s="53"/>
      <c r="Z238" s="53"/>
      <c r="AA238" s="53"/>
      <c r="AB238" s="53"/>
      <c r="AC238" s="53"/>
      <c r="AD238" s="53"/>
      <c r="AE238" s="53"/>
      <c r="AF238" s="53"/>
      <c r="AG238" s="53"/>
    </row>
    <row r="239" spans="2:33" ht="15" customHeight="1" x14ac:dyDescent="0.25">
      <c r="B239" s="136" t="str">
        <f>HYPERLINK("https://www.pbo.gov.au/elections/2025-general-election/2025-election-commitments-costings/help-buy-scheme-reverse", "ECR-2025-2213")</f>
        <v>ECR-2025-2213</v>
      </c>
      <c r="C239" s="59" t="s">
        <v>242</v>
      </c>
      <c r="D239" s="60">
        <v>22</v>
      </c>
      <c r="E239" s="60">
        <v>78</v>
      </c>
      <c r="F239" s="60">
        <v>151</v>
      </c>
      <c r="G239" s="60">
        <v>227</v>
      </c>
      <c r="H239" s="60">
        <v>286</v>
      </c>
      <c r="I239" s="60">
        <v>313</v>
      </c>
      <c r="J239" s="60">
        <v>329</v>
      </c>
      <c r="K239" s="60">
        <v>344</v>
      </c>
      <c r="L239" s="60">
        <v>356</v>
      </c>
      <c r="M239" s="60">
        <v>364</v>
      </c>
      <c r="N239" s="60">
        <v>372</v>
      </c>
      <c r="O239" s="60">
        <v>478</v>
      </c>
      <c r="P239" s="60">
        <v>2842</v>
      </c>
      <c r="Q239" s="61"/>
      <c r="R239" s="61"/>
      <c r="S239" s="59" t="s">
        <v>261</v>
      </c>
      <c r="U239" s="53"/>
      <c r="V239" s="53"/>
      <c r="W239" s="53"/>
      <c r="X239" s="53"/>
      <c r="Y239" s="53"/>
      <c r="Z239" s="53"/>
      <c r="AA239" s="53"/>
      <c r="AB239" s="53"/>
      <c r="AC239" s="53"/>
      <c r="AD239" s="53"/>
      <c r="AE239" s="53"/>
      <c r="AF239" s="53"/>
      <c r="AG239" s="53"/>
    </row>
    <row r="240" spans="2:33" ht="15" customHeight="1" x14ac:dyDescent="0.25">
      <c r="B240" s="136" t="str">
        <f>HYPERLINK("https://www.pbo.gov.au/elections/2025-general-election/2025-election-commitments-costings/student-help-changes-not-proceeding", "ECR-2025-2230")</f>
        <v>ECR-2025-2230</v>
      </c>
      <c r="C240" s="59" t="s">
        <v>162</v>
      </c>
      <c r="D240" s="60">
        <v>45</v>
      </c>
      <c r="E240" s="60">
        <v>94</v>
      </c>
      <c r="F240" s="60">
        <v>152</v>
      </c>
      <c r="G240" s="60">
        <v>217</v>
      </c>
      <c r="H240" s="60">
        <v>290</v>
      </c>
      <c r="I240" s="60">
        <v>372</v>
      </c>
      <c r="J240" s="60">
        <v>461</v>
      </c>
      <c r="K240" s="60">
        <v>555</v>
      </c>
      <c r="L240" s="60">
        <v>652</v>
      </c>
      <c r="M240" s="60">
        <v>754</v>
      </c>
      <c r="N240" s="60">
        <v>860</v>
      </c>
      <c r="O240" s="60">
        <v>519.6</v>
      </c>
      <c r="P240" s="60">
        <v>4463.6000000000004</v>
      </c>
      <c r="Q240" s="61"/>
      <c r="R240" s="61"/>
      <c r="S240" s="59" t="s">
        <v>308</v>
      </c>
      <c r="U240" s="53"/>
      <c r="V240" s="53"/>
      <c r="W240" s="53"/>
      <c r="X240" s="53"/>
      <c r="Y240" s="53"/>
      <c r="Z240" s="53"/>
      <c r="AA240" s="53"/>
      <c r="AB240" s="53"/>
      <c r="AC240" s="53"/>
      <c r="AD240" s="53"/>
      <c r="AE240" s="53"/>
      <c r="AF240" s="53"/>
      <c r="AG240" s="53"/>
    </row>
    <row r="241" spans="2:33" ht="15" customHeight="1" x14ac:dyDescent="0.25">
      <c r="B241" s="136" t="str">
        <f>HYPERLINK("https://www.pbo.gov.au/elections/2025-general-election/2025-election-commitments-costings/national-reconstruction-fund-and-national-reconstruction-fund-corporation-unwind-and-close", "ECR-2025-2247")</f>
        <v>ECR-2025-2247</v>
      </c>
      <c r="C241" s="59" t="s">
        <v>247</v>
      </c>
      <c r="D241" s="60">
        <v>32</v>
      </c>
      <c r="E241" s="60">
        <v>115</v>
      </c>
      <c r="F241" s="60">
        <v>229</v>
      </c>
      <c r="G241" s="60">
        <v>371</v>
      </c>
      <c r="H241" s="60">
        <v>518</v>
      </c>
      <c r="I241" s="60">
        <v>605</v>
      </c>
      <c r="J241" s="60">
        <v>625</v>
      </c>
      <c r="K241" s="60">
        <v>628</v>
      </c>
      <c r="L241" s="60">
        <v>632</v>
      </c>
      <c r="M241" s="60">
        <v>637</v>
      </c>
      <c r="N241" s="60">
        <v>642</v>
      </c>
      <c r="O241" s="60">
        <v>747</v>
      </c>
      <c r="P241" s="60">
        <v>5034</v>
      </c>
      <c r="Q241" s="61"/>
      <c r="R241" s="61"/>
      <c r="S241" s="59" t="s">
        <v>261</v>
      </c>
      <c r="U241" s="53"/>
      <c r="V241" s="53"/>
      <c r="W241" s="53"/>
      <c r="X241" s="53"/>
      <c r="Y241" s="53"/>
      <c r="Z241" s="53"/>
      <c r="AA241" s="53"/>
      <c r="AB241" s="53"/>
      <c r="AC241" s="53"/>
      <c r="AD241" s="53"/>
      <c r="AE241" s="53"/>
      <c r="AF241" s="53"/>
      <c r="AG241" s="53"/>
    </row>
    <row r="242" spans="2:33" ht="15" customHeight="1" x14ac:dyDescent="0.25">
      <c r="B242" s="136" t="str">
        <f>HYPERLINK("https://www.pbo.gov.au/elections/2025-general-election/2025-election-commitments-costings/Deliver%20a%20National%20Gas%20Plan%20%E2%80%93%20%241%20billion%20Critical%20Gas%20Infrastructure%20Fund", "ECR-2025-2455")</f>
        <v>ECR-2025-2455</v>
      </c>
      <c r="C242" s="59" t="s">
        <v>243</v>
      </c>
      <c r="D242" s="60">
        <v>-1.6</v>
      </c>
      <c r="E242" s="60">
        <v>-5.4</v>
      </c>
      <c r="F242" s="60">
        <v>-9.6</v>
      </c>
      <c r="G242" s="60">
        <v>-13.7</v>
      </c>
      <c r="H242" s="60">
        <v>-17.8</v>
      </c>
      <c r="I242" s="60">
        <v>-20.100000000000001</v>
      </c>
      <c r="J242" s="60">
        <v>-20.2</v>
      </c>
      <c r="K242" s="60">
        <v>-19.8</v>
      </c>
      <c r="L242" s="60">
        <v>-19.2</v>
      </c>
      <c r="M242" s="60">
        <v>-18.399999999999999</v>
      </c>
      <c r="N242" s="60">
        <v>-17.7</v>
      </c>
      <c r="O242" s="60">
        <v>-30.3</v>
      </c>
      <c r="P242" s="60">
        <v>-163.5</v>
      </c>
      <c r="Q242" s="61"/>
      <c r="R242" s="61"/>
      <c r="S242" s="59" t="s">
        <v>296</v>
      </c>
      <c r="U242" s="53"/>
      <c r="V242" s="53"/>
      <c r="W242" s="53"/>
      <c r="X242" s="53"/>
      <c r="Y242" s="53"/>
      <c r="Z242" s="53"/>
      <c r="AA242" s="53"/>
      <c r="AB242" s="53"/>
      <c r="AC242" s="53"/>
      <c r="AD242" s="53"/>
      <c r="AE242" s="53"/>
      <c r="AF242" s="53"/>
      <c r="AG242" s="53"/>
    </row>
    <row r="243" spans="2:33" ht="15" customHeight="1" x14ac:dyDescent="0.25">
      <c r="B243" s="136" t="str">
        <f>HYPERLINK("https://www.pbo.gov.au/elections/2025-general-election/2025-election-commitments-costings/Modify%20Commonwealth%20Prac%20Payments", "ECR-2025-2599")</f>
        <v>ECR-2025-2599</v>
      </c>
      <c r="C243" s="59" t="s">
        <v>364</v>
      </c>
      <c r="D243" s="60" t="s">
        <v>12</v>
      </c>
      <c r="E243" s="60">
        <v>0.1</v>
      </c>
      <c r="F243" s="60">
        <v>0.2</v>
      </c>
      <c r="G243" s="60">
        <v>0.3</v>
      </c>
      <c r="H243" s="60">
        <v>0.4</v>
      </c>
      <c r="I243" s="60">
        <v>0.5</v>
      </c>
      <c r="J243" s="60">
        <v>0.7</v>
      </c>
      <c r="K243" s="60">
        <v>0.8</v>
      </c>
      <c r="L243" s="60">
        <v>1</v>
      </c>
      <c r="M243" s="60">
        <v>1.1000000000000001</v>
      </c>
      <c r="N243" s="60">
        <v>1.3</v>
      </c>
      <c r="O243" s="60">
        <v>0.6</v>
      </c>
      <c r="P243" s="60">
        <v>6.4</v>
      </c>
      <c r="Q243" s="61"/>
      <c r="R243" s="61"/>
      <c r="S243" s="59" t="s">
        <v>261</v>
      </c>
      <c r="U243" s="53"/>
      <c r="V243" s="53"/>
      <c r="W243" s="53"/>
      <c r="X243" s="53"/>
      <c r="Y243" s="53"/>
      <c r="Z243" s="53"/>
      <c r="AA243" s="53"/>
      <c r="AB243" s="53"/>
      <c r="AC243" s="53"/>
      <c r="AD243" s="53"/>
      <c r="AE243" s="53"/>
      <c r="AF243" s="53"/>
      <c r="AG243" s="53"/>
    </row>
    <row r="244" spans="2:33" ht="15" customHeight="1" x14ac:dyDescent="0.25">
      <c r="B244" s="136" t="str">
        <f>HYPERLINK("https://www.pbo.gov.au/elections/2025-general-election/2025-election-commitments-costings/Future%20Generations%20Fund%20and%20Regional%20Australia%20Future%20Fund", "ECR-2025-2651")</f>
        <v>ECR-2025-2651</v>
      </c>
      <c r="C244" s="59" t="s">
        <v>251</v>
      </c>
      <c r="D244" s="60">
        <v>0</v>
      </c>
      <c r="E244" s="60">
        <v>-161</v>
      </c>
      <c r="F244" s="60">
        <v>-216</v>
      </c>
      <c r="G244" s="60">
        <v>-217</v>
      </c>
      <c r="H244" s="60">
        <v>-218</v>
      </c>
      <c r="I244" s="60">
        <v>-219</v>
      </c>
      <c r="J244" s="60">
        <v>-219</v>
      </c>
      <c r="K244" s="60">
        <v>-218</v>
      </c>
      <c r="L244" s="60">
        <v>-217</v>
      </c>
      <c r="M244" s="60">
        <v>-216</v>
      </c>
      <c r="N244" s="60">
        <v>-213</v>
      </c>
      <c r="O244" s="60">
        <v>-594</v>
      </c>
      <c r="P244" s="60">
        <v>-2114</v>
      </c>
      <c r="Q244" s="61"/>
      <c r="R244" s="61"/>
      <c r="S244" s="59" t="s">
        <v>313</v>
      </c>
      <c r="U244" s="53"/>
      <c r="V244" s="53"/>
      <c r="W244" s="53"/>
      <c r="X244" s="53"/>
      <c r="Y244" s="53"/>
      <c r="Z244" s="53"/>
      <c r="AA244" s="53"/>
      <c r="AB244" s="53"/>
      <c r="AC244" s="53"/>
      <c r="AD244" s="53"/>
      <c r="AE244" s="53"/>
      <c r="AF244" s="53"/>
      <c r="AG244" s="53"/>
    </row>
    <row r="245" spans="2:33" ht="15" customHeight="1" x14ac:dyDescent="0.25">
      <c r="B245" s="136" t="str">
        <f>HYPERLINK("https://www.pbo.gov.au/elections/2025-general-election/2025-election-commitments-costings/startup-year-loan-scheme-reprioritise", "ECR-2025-2763")</f>
        <v>ECR-2025-2763</v>
      </c>
      <c r="C245" s="59" t="s">
        <v>196</v>
      </c>
      <c r="D245" s="60">
        <v>0.4</v>
      </c>
      <c r="E245" s="60">
        <v>1.4</v>
      </c>
      <c r="F245" s="60">
        <v>2.7</v>
      </c>
      <c r="G245" s="60">
        <v>3.9</v>
      </c>
      <c r="H245" s="60">
        <v>5.3</v>
      </c>
      <c r="I245" s="60">
        <v>6.6</v>
      </c>
      <c r="J245" s="60">
        <v>8</v>
      </c>
      <c r="K245" s="60">
        <v>9.5</v>
      </c>
      <c r="L245" s="60">
        <v>11</v>
      </c>
      <c r="M245" s="60">
        <v>12.5</v>
      </c>
      <c r="N245" s="60">
        <v>14</v>
      </c>
      <c r="O245" s="60">
        <v>8.4</v>
      </c>
      <c r="P245" s="60">
        <v>75.3</v>
      </c>
      <c r="Q245" s="61"/>
      <c r="R245" s="61"/>
      <c r="S245" s="59" t="s">
        <v>261</v>
      </c>
      <c r="U245" s="53"/>
      <c r="V245" s="53"/>
      <c r="W245" s="53"/>
      <c r="X245" s="53"/>
      <c r="Y245" s="53"/>
      <c r="Z245" s="53"/>
      <c r="AA245" s="53"/>
      <c r="AB245" s="53"/>
      <c r="AC245" s="53"/>
      <c r="AD245" s="53"/>
      <c r="AE245" s="53"/>
      <c r="AF245" s="53"/>
      <c r="AG245" s="53"/>
    </row>
    <row r="246" spans="2:33" ht="15" customHeight="1" x14ac:dyDescent="0.25">
      <c r="B246" s="136" t="str">
        <f>HYPERLINK("https://www.pbo.gov.au/elections/2025-general-election/2025-election-commitments-costings/reinstate-50-pass-mark-required-hecs-help-loans", "ECR-2025-2764")</f>
        <v>ECR-2025-2764</v>
      </c>
      <c r="C246" s="59" t="s">
        <v>222</v>
      </c>
      <c r="D246" s="60">
        <v>0.4</v>
      </c>
      <c r="E246" s="60">
        <v>1.6</v>
      </c>
      <c r="F246" s="60">
        <v>3.5</v>
      </c>
      <c r="G246" s="60">
        <v>5.6</v>
      </c>
      <c r="H246" s="60">
        <v>7.9</v>
      </c>
      <c r="I246" s="60">
        <v>10.4</v>
      </c>
      <c r="J246" s="60">
        <v>13</v>
      </c>
      <c r="K246" s="60">
        <v>15.7</v>
      </c>
      <c r="L246" s="60">
        <v>18.600000000000001</v>
      </c>
      <c r="M246" s="60">
        <v>21.6</v>
      </c>
      <c r="N246" s="60">
        <v>24.7</v>
      </c>
      <c r="O246" s="60">
        <v>11.1</v>
      </c>
      <c r="P246" s="60">
        <v>123</v>
      </c>
      <c r="Q246" s="61"/>
      <c r="R246" s="61"/>
      <c r="S246" s="59" t="s">
        <v>292</v>
      </c>
      <c r="U246" s="53"/>
      <c r="V246" s="53"/>
      <c r="W246" s="53"/>
      <c r="X246" s="53"/>
      <c r="Y246" s="53"/>
      <c r="Z246" s="53"/>
      <c r="AA246" s="53"/>
      <c r="AB246" s="53"/>
      <c r="AC246" s="53"/>
      <c r="AD246" s="53"/>
      <c r="AE246" s="53"/>
      <c r="AF246" s="53"/>
      <c r="AG246" s="53"/>
    </row>
    <row r="247" spans="2:33" ht="15" customHeight="1" x14ac:dyDescent="0.25">
      <c r="B247" s="136" t="str">
        <f>HYPERLINK("https://www.pbo.gov.au/elections/2025-general-election/2025-election-commitments-costings/housing-infrastructure-program", "ECR-2025-2862")</f>
        <v>ECR-2025-2862</v>
      </c>
      <c r="C247" s="59" t="s">
        <v>212</v>
      </c>
      <c r="D247" s="60">
        <v>-9</v>
      </c>
      <c r="E247" s="60">
        <v>-39</v>
      </c>
      <c r="F247" s="60">
        <v>-81</v>
      </c>
      <c r="G247" s="60">
        <v>-123</v>
      </c>
      <c r="H247" s="60">
        <v>-155</v>
      </c>
      <c r="I247" s="60">
        <v>-166</v>
      </c>
      <c r="J247" s="60">
        <v>-165</v>
      </c>
      <c r="K247" s="60">
        <v>-165</v>
      </c>
      <c r="L247" s="60">
        <v>-167</v>
      </c>
      <c r="M247" s="60">
        <v>-171</v>
      </c>
      <c r="N247" s="60">
        <v>-175</v>
      </c>
      <c r="O247" s="60">
        <v>-252</v>
      </c>
      <c r="P247" s="60">
        <v>-1416</v>
      </c>
      <c r="Q247" s="61"/>
      <c r="R247" s="61"/>
      <c r="S247" s="59" t="s">
        <v>323</v>
      </c>
      <c r="U247" s="53"/>
      <c r="V247" s="53"/>
      <c r="W247" s="53"/>
      <c r="X247" s="53"/>
      <c r="Y247" s="53"/>
      <c r="Z247" s="53"/>
      <c r="AA247" s="53"/>
      <c r="AB247" s="53"/>
      <c r="AC247" s="53"/>
      <c r="AD247" s="53"/>
      <c r="AE247" s="53"/>
      <c r="AF247" s="53"/>
      <c r="AG247" s="53"/>
    </row>
    <row r="248" spans="2:33" ht="15" customHeight="1" x14ac:dyDescent="0.25">
      <c r="B248" s="136" t="str">
        <f>HYPERLINK("https://www.pbo.gov.au/elections/2025-general-election/2025-election-commitments-costings/High-quality-Graduate-Diplomas-of-Education", "ECR-2025-2868")</f>
        <v>ECR-2025-2868</v>
      </c>
      <c r="C248" s="59" t="s">
        <v>447</v>
      </c>
      <c r="D248" s="60">
        <v>0</v>
      </c>
      <c r="E248" s="60">
        <v>0.8</v>
      </c>
      <c r="F248" s="60">
        <v>3.5</v>
      </c>
      <c r="G248" s="60">
        <v>7.8</v>
      </c>
      <c r="H248" s="60">
        <v>12.7</v>
      </c>
      <c r="I248" s="60">
        <v>18</v>
      </c>
      <c r="J248" s="60">
        <v>23.7</v>
      </c>
      <c r="K248" s="60">
        <v>29.8</v>
      </c>
      <c r="L248" s="60">
        <v>36.5</v>
      </c>
      <c r="M248" s="60">
        <v>43.8</v>
      </c>
      <c r="N248" s="60">
        <v>51.6</v>
      </c>
      <c r="O248" s="60">
        <v>12.1</v>
      </c>
      <c r="P248" s="60">
        <v>228.2</v>
      </c>
      <c r="Q248" s="61"/>
      <c r="R248" s="61"/>
      <c r="S248" s="59" t="s">
        <v>333</v>
      </c>
      <c r="U248" s="53"/>
      <c r="V248" s="53"/>
      <c r="W248" s="53"/>
      <c r="X248" s="53"/>
      <c r="Y248" s="53"/>
      <c r="Z248" s="53"/>
      <c r="AA248" s="53"/>
      <c r="AB248" s="53"/>
      <c r="AC248" s="53"/>
      <c r="AD248" s="53"/>
      <c r="AE248" s="53"/>
      <c r="AF248" s="53"/>
      <c r="AG248" s="53"/>
    </row>
    <row r="249" spans="2:33" ht="15" customHeight="1" x14ac:dyDescent="0.25">
      <c r="B249" s="136" t="str">
        <f>HYPERLINK("https://www.pbo.gov.au/elections/2025-general-election/2025-election-commitments-costings/investing-regional-health-education-infrastructure-and-workforce", "ECR-2025-2888")</f>
        <v>ECR-2025-2888</v>
      </c>
      <c r="C249" s="59" t="s">
        <v>215</v>
      </c>
      <c r="D249" s="60">
        <v>-0.6</v>
      </c>
      <c r="E249" s="60">
        <v>-2.1</v>
      </c>
      <c r="F249" s="60">
        <v>-4</v>
      </c>
      <c r="G249" s="60">
        <v>-5.6</v>
      </c>
      <c r="H249" s="60">
        <v>-6.4</v>
      </c>
      <c r="I249" s="60">
        <v>-7</v>
      </c>
      <c r="J249" s="60">
        <v>-7.6</v>
      </c>
      <c r="K249" s="60">
        <v>-8.1</v>
      </c>
      <c r="L249" s="60">
        <v>-8.4</v>
      </c>
      <c r="M249" s="60">
        <v>-8.8000000000000007</v>
      </c>
      <c r="N249" s="60">
        <v>-9.1999999999999993</v>
      </c>
      <c r="O249" s="60">
        <v>-12.3</v>
      </c>
      <c r="P249" s="60">
        <v>-67.8</v>
      </c>
      <c r="Q249" s="61"/>
      <c r="R249" s="61"/>
      <c r="S249" s="59" t="s">
        <v>335</v>
      </c>
      <c r="U249" s="53"/>
      <c r="V249" s="53"/>
      <c r="W249" s="53"/>
      <c r="X249" s="53"/>
      <c r="Y249" s="53"/>
      <c r="Z249" s="53"/>
      <c r="AA249" s="53"/>
      <c r="AB249" s="53"/>
      <c r="AC249" s="53"/>
      <c r="AD249" s="53"/>
      <c r="AE249" s="53"/>
      <c r="AF249" s="53"/>
      <c r="AG249" s="53"/>
    </row>
    <row r="250" spans="2:33" ht="15" customHeight="1" x14ac:dyDescent="0.25">
      <c r="B250" s="3" t="s">
        <v>20</v>
      </c>
      <c r="C250" s="3"/>
      <c r="D250" s="55">
        <v>-105.5</v>
      </c>
      <c r="E250" s="55">
        <v>-318.60000000000002</v>
      </c>
      <c r="F250" s="55">
        <v>-373.9</v>
      </c>
      <c r="G250" s="55">
        <v>-106.4</v>
      </c>
      <c r="H250" s="55">
        <v>331.9</v>
      </c>
      <c r="I250" s="55">
        <v>784.6</v>
      </c>
      <c r="J250" s="55">
        <v>1075.4000000000001</v>
      </c>
      <c r="K250" s="55">
        <v>1180.5</v>
      </c>
      <c r="L250" s="55">
        <v>1074.4000000000001</v>
      </c>
      <c r="M250" s="55">
        <v>705.8</v>
      </c>
      <c r="N250" s="55">
        <v>113.9</v>
      </c>
      <c r="O250" s="55">
        <v>-904.4</v>
      </c>
      <c r="P250" s="55">
        <v>4362.1000000000004</v>
      </c>
      <c r="Q250" s="5" t="s">
        <v>14</v>
      </c>
      <c r="R250" s="4"/>
      <c r="S250" s="3"/>
      <c r="U250" s="53"/>
      <c r="V250" s="53"/>
      <c r="W250" s="53"/>
      <c r="X250" s="53"/>
      <c r="Y250" s="53"/>
      <c r="Z250" s="53"/>
      <c r="AA250" s="53"/>
      <c r="AB250" s="53"/>
      <c r="AC250" s="53"/>
      <c r="AD250" s="53"/>
      <c r="AE250" s="53"/>
      <c r="AF250" s="53"/>
      <c r="AG250" s="53"/>
    </row>
    <row r="251" spans="2:33" ht="15" customHeight="1" x14ac:dyDescent="0.25">
      <c r="B251" s="6" t="s">
        <v>608</v>
      </c>
      <c r="C251" s="6"/>
      <c r="D251" s="56">
        <v>857.6</v>
      </c>
      <c r="E251" s="56">
        <v>949.1</v>
      </c>
      <c r="F251" s="56">
        <v>1057.5</v>
      </c>
      <c r="G251" s="56">
        <v>1574</v>
      </c>
      <c r="H251" s="56">
        <v>2225.6999999999998</v>
      </c>
      <c r="I251" s="56">
        <v>2782.3</v>
      </c>
      <c r="J251" s="56">
        <v>3053.2</v>
      </c>
      <c r="K251" s="56">
        <v>3068.9</v>
      </c>
      <c r="L251" s="56">
        <v>2838.3</v>
      </c>
      <c r="M251" s="56">
        <v>2279.3000000000002</v>
      </c>
      <c r="N251" s="56">
        <v>1426.2</v>
      </c>
      <c r="O251" s="56">
        <v>4449.8</v>
      </c>
      <c r="P251" s="56">
        <v>22123.7</v>
      </c>
      <c r="Q251" s="7" t="s">
        <v>21</v>
      </c>
      <c r="R251" s="7" t="s">
        <v>22</v>
      </c>
      <c r="S251" s="6"/>
      <c r="U251" s="53"/>
      <c r="V251" s="53"/>
      <c r="W251" s="53"/>
      <c r="X251" s="53"/>
      <c r="Y251" s="53"/>
      <c r="Z251" s="53"/>
      <c r="AA251" s="53"/>
      <c r="AB251" s="53"/>
      <c r="AC251" s="53"/>
      <c r="AD251" s="53"/>
      <c r="AE251" s="53"/>
      <c r="AF251" s="53"/>
      <c r="AG251" s="53"/>
    </row>
    <row r="252" spans="2:33" ht="15" customHeight="1" x14ac:dyDescent="0.25"/>
    <row r="253" spans="2:33" ht="15" customHeight="1" x14ac:dyDescent="0.25">
      <c r="B253" s="14" t="s">
        <v>23</v>
      </c>
      <c r="Q253" s="69"/>
      <c r="R253" s="70"/>
    </row>
    <row r="254" spans="2:33" ht="15" customHeight="1" x14ac:dyDescent="0.25">
      <c r="B254" s="10" t="s">
        <v>24</v>
      </c>
      <c r="Q254" s="69"/>
      <c r="R254" s="70"/>
    </row>
    <row r="255" spans="2:33" ht="15" customHeight="1" x14ac:dyDescent="0.25">
      <c r="B255" s="10" t="s">
        <v>25</v>
      </c>
      <c r="Q255" s="69"/>
      <c r="R255" s="70"/>
    </row>
    <row r="256" spans="2:33" ht="15" customHeight="1" x14ac:dyDescent="0.25">
      <c r="B256" s="10" t="s">
        <v>26</v>
      </c>
      <c r="Q256" s="69"/>
      <c r="R256" s="70"/>
    </row>
    <row r="257" spans="2:19" ht="15" customHeight="1" x14ac:dyDescent="0.25">
      <c r="B257" s="10" t="s">
        <v>27</v>
      </c>
      <c r="Q257" s="69"/>
      <c r="R257" s="70"/>
    </row>
    <row r="258" spans="2:19" ht="15" customHeight="1" x14ac:dyDescent="0.25">
      <c r="B258" s="10" t="s">
        <v>28</v>
      </c>
      <c r="C258" s="72"/>
      <c r="D258" s="73"/>
      <c r="E258" s="73"/>
      <c r="F258" s="73"/>
      <c r="G258" s="73"/>
      <c r="H258" s="73"/>
      <c r="I258" s="73"/>
      <c r="J258" s="73"/>
      <c r="K258" s="73"/>
      <c r="L258" s="73"/>
      <c r="M258" s="73"/>
      <c r="N258" s="73"/>
      <c r="O258" s="73"/>
      <c r="P258" s="73"/>
      <c r="Q258" s="74"/>
      <c r="R258" s="75"/>
      <c r="S258" s="72"/>
    </row>
    <row r="259" spans="2:19" ht="15" customHeight="1" x14ac:dyDescent="0.25">
      <c r="B259" s="71" t="s">
        <v>29</v>
      </c>
      <c r="Q259" s="69"/>
      <c r="R259" s="70"/>
    </row>
    <row r="260" spans="2:19" ht="15" customHeight="1" x14ac:dyDescent="0.25">
      <c r="B260" s="10" t="s">
        <v>390</v>
      </c>
      <c r="Q260" s="69"/>
      <c r="R260" s="70"/>
    </row>
    <row r="261" spans="2:19" ht="15" customHeight="1" x14ac:dyDescent="0.25">
      <c r="B261" s="10" t="s">
        <v>466</v>
      </c>
      <c r="Q261" s="69"/>
      <c r="R261" s="70"/>
    </row>
    <row r="262" spans="2:19" ht="15" customHeight="1" x14ac:dyDescent="0.25">
      <c r="B262" s="10" t="s">
        <v>467</v>
      </c>
      <c r="Q262" s="69"/>
      <c r="R262" s="70"/>
    </row>
    <row r="263" spans="2:19" ht="15" customHeight="1" x14ac:dyDescent="0.25">
      <c r="B263" s="10" t="s">
        <v>609</v>
      </c>
      <c r="Q263" s="69"/>
      <c r="R263" s="70"/>
    </row>
    <row r="264" spans="2:19" ht="15" customHeight="1" x14ac:dyDescent="0.25">
      <c r="B264" s="10" t="s">
        <v>610</v>
      </c>
      <c r="Q264" s="69"/>
      <c r="R264" s="70"/>
    </row>
    <row r="265" spans="2:19" ht="15" customHeight="1" x14ac:dyDescent="0.25">
      <c r="B265" s="10"/>
      <c r="Q265" s="69"/>
      <c r="R265" s="70"/>
    </row>
    <row r="266" spans="2:19" x14ac:dyDescent="0.25">
      <c r="B266" s="15" t="s">
        <v>30</v>
      </c>
      <c r="Q266" s="69"/>
      <c r="R266" s="70"/>
    </row>
    <row r="267" spans="2:19" x14ac:dyDescent="0.25">
      <c r="Q267" s="69"/>
      <c r="R267" s="70"/>
    </row>
    <row r="268" spans="2:19" x14ac:dyDescent="0.25">
      <c r="Q268" s="69"/>
      <c r="R268" s="70"/>
    </row>
  </sheetData>
  <mergeCells count="1">
    <mergeCell ref="B1:F1"/>
  </mergeCells>
  <conditionalFormatting sqref="B4 B66 B76 B111 B167 B212">
    <cfRule type="expression" dxfId="2" priority="12">
      <formula>LEFT($E4,3)="ECR"</formula>
    </cfRule>
  </conditionalFormatting>
  <hyperlinks>
    <hyperlink ref="B266" location="Contents!A1" display="Back to contents" xr:uid="{182A7C8B-6452-4009-AB6C-244EC3B654A3}"/>
    <hyperlink ref="B67" r:id="rId1" xr:uid="{64A565E2-8AE7-41A1-8418-5ADD8CA038D4}"/>
    <hyperlink ref="B234" r:id="rId2" xr:uid="{BE275FFA-46E6-4FF5-B4BD-15032D5F3558}"/>
  </hyperlinks>
  <pageMargins left="0.25" right="0.25" top="0.75" bottom="0.75" header="0.3" footer="0.3"/>
  <pageSetup orientation="landscape"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B7E2-DD77-4A86-A6DD-D1532FD62144}">
  <sheetPr>
    <tabColor theme="0" tint="-4.9989318521683403E-2"/>
  </sheetPr>
  <dimension ref="A1:AK268"/>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3.85546875" style="8" customWidth="1"/>
    <col min="3" max="3" width="120.28515625" style="8" bestFit="1" customWidth="1"/>
    <col min="4" max="15" width="8.42578125" style="53" customWidth="1"/>
    <col min="16" max="16" width="8.140625" style="53" customWidth="1"/>
    <col min="17" max="17" width="10.7109375" style="9" customWidth="1"/>
    <col min="18" max="18" width="10.7109375" style="17" customWidth="1"/>
    <col min="19" max="19" width="152.7109375" style="8" bestFit="1" customWidth="1"/>
    <col min="20" max="20" width="8.85546875" style="11"/>
    <col min="21" max="34" width="8.85546875" style="11" bestFit="1"/>
    <col min="35" max="16384" width="8.85546875" style="11"/>
  </cols>
  <sheetData>
    <row r="1" spans="1:33" x14ac:dyDescent="0.25">
      <c r="B1" s="139"/>
      <c r="C1" s="139"/>
      <c r="D1" s="139"/>
      <c r="E1" s="139"/>
      <c r="F1" s="139"/>
    </row>
    <row r="2" spans="1:33" ht="24.95" customHeight="1" x14ac:dyDescent="0.25">
      <c r="B2" s="18" t="s">
        <v>384</v>
      </c>
    </row>
    <row r="3" spans="1:33" s="13" customFormat="1" ht="24.95" customHeight="1" x14ac:dyDescent="0.25">
      <c r="A3" s="12"/>
      <c r="B3" s="1" t="s">
        <v>4</v>
      </c>
      <c r="C3" s="1" t="s">
        <v>5</v>
      </c>
      <c r="D3" s="54" t="s">
        <v>471</v>
      </c>
      <c r="E3" s="54" t="s">
        <v>618</v>
      </c>
      <c r="F3" s="54" t="s">
        <v>619</v>
      </c>
      <c r="G3" s="54" t="s">
        <v>620</v>
      </c>
      <c r="H3" s="54" t="s">
        <v>621</v>
      </c>
      <c r="I3" s="54" t="s">
        <v>622</v>
      </c>
      <c r="J3" s="54" t="s">
        <v>623</v>
      </c>
      <c r="K3" s="54" t="s">
        <v>624</v>
      </c>
      <c r="L3" s="54" t="s">
        <v>625</v>
      </c>
      <c r="M3" s="54" t="s">
        <v>626</v>
      </c>
      <c r="N3" s="54" t="s">
        <v>627</v>
      </c>
      <c r="O3" s="54" t="s">
        <v>628</v>
      </c>
      <c r="P3" s="138" t="s">
        <v>629</v>
      </c>
      <c r="Q3" s="2" t="s">
        <v>6</v>
      </c>
      <c r="R3" s="2" t="s">
        <v>7</v>
      </c>
      <c r="S3" s="1" t="s">
        <v>8</v>
      </c>
    </row>
    <row r="4" spans="1:33" ht="15" customHeight="1" x14ac:dyDescent="0.25">
      <c r="B4" s="81" t="s">
        <v>97</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c r="U4" s="53"/>
      <c r="V4" s="53"/>
      <c r="W4" s="53"/>
      <c r="X4" s="53"/>
      <c r="Y4" s="53"/>
      <c r="Z4" s="53"/>
      <c r="AA4" s="53"/>
      <c r="AB4" s="53"/>
      <c r="AC4" s="53"/>
      <c r="AD4" s="53"/>
      <c r="AE4" s="53"/>
      <c r="AF4" s="53"/>
      <c r="AG4" s="53"/>
    </row>
    <row r="5" spans="1:33" ht="15" customHeight="1" x14ac:dyDescent="0.25">
      <c r="B5" s="135" t="str">
        <f>HYPERLINK("https://www.pbo.gov.au/elections/2025-general-election/2025-election-commitments-costings/Abolish-family-car-and-ute-tax", "ECR-2025-2551")</f>
        <v>ECR-2025-2551</v>
      </c>
      <c r="C5" s="59" t="s">
        <v>229</v>
      </c>
      <c r="D5" s="60">
        <v>25.2</v>
      </c>
      <c r="E5" s="60">
        <v>90.2</v>
      </c>
      <c r="F5" s="60">
        <v>236.2</v>
      </c>
      <c r="G5" s="60">
        <v>248.3</v>
      </c>
      <c r="H5" s="60">
        <v>259.39999999999998</v>
      </c>
      <c r="I5" s="60">
        <v>276.39999999999998</v>
      </c>
      <c r="J5" s="60">
        <v>282.5</v>
      </c>
      <c r="K5" s="60">
        <v>294.60000000000002</v>
      </c>
      <c r="L5" s="60">
        <v>306.7</v>
      </c>
      <c r="M5" s="60">
        <v>319.7</v>
      </c>
      <c r="N5" s="60">
        <v>332.8</v>
      </c>
      <c r="O5" s="60">
        <v>599.9</v>
      </c>
      <c r="P5" s="60">
        <v>2672</v>
      </c>
      <c r="Q5" s="64"/>
      <c r="R5" s="64"/>
      <c r="S5" s="59" t="s">
        <v>288</v>
      </c>
      <c r="U5" s="53"/>
      <c r="V5" s="53"/>
      <c r="W5" s="53"/>
      <c r="X5" s="53"/>
      <c r="Y5" s="53"/>
      <c r="Z5" s="53"/>
      <c r="AA5" s="53"/>
      <c r="AB5" s="53"/>
      <c r="AC5" s="53"/>
      <c r="AD5" s="53"/>
      <c r="AE5" s="53"/>
      <c r="AF5" s="53"/>
      <c r="AG5" s="53"/>
    </row>
    <row r="6" spans="1:33" ht="15" customHeight="1" x14ac:dyDescent="0.25">
      <c r="B6" s="59" t="s">
        <v>110</v>
      </c>
      <c r="C6" s="59" t="s">
        <v>391</v>
      </c>
      <c r="D6" s="60">
        <v>0</v>
      </c>
      <c r="E6" s="60">
        <v>0</v>
      </c>
      <c r="F6" s="60">
        <v>0</v>
      </c>
      <c r="G6" s="60">
        <v>0</v>
      </c>
      <c r="H6" s="60">
        <v>0</v>
      </c>
      <c r="I6" s="60">
        <v>0</v>
      </c>
      <c r="J6" s="60">
        <v>0</v>
      </c>
      <c r="K6" s="60">
        <v>0</v>
      </c>
      <c r="L6" s="60">
        <v>0</v>
      </c>
      <c r="M6" s="60">
        <v>0</v>
      </c>
      <c r="N6" s="60">
        <v>0</v>
      </c>
      <c r="O6" s="60">
        <v>0</v>
      </c>
      <c r="P6" s="60">
        <v>0</v>
      </c>
      <c r="Q6" s="64"/>
      <c r="R6" s="64"/>
      <c r="S6" s="59" t="s">
        <v>289</v>
      </c>
      <c r="U6" s="53"/>
      <c r="V6" s="53"/>
      <c r="W6" s="53"/>
      <c r="X6" s="53"/>
      <c r="Y6" s="53"/>
      <c r="Z6" s="53"/>
      <c r="AA6" s="53"/>
      <c r="AB6" s="53"/>
      <c r="AC6" s="53"/>
      <c r="AD6" s="53"/>
      <c r="AE6" s="53"/>
      <c r="AF6" s="53"/>
      <c r="AG6" s="53"/>
    </row>
    <row r="7" spans="1:33" ht="15" customHeight="1" x14ac:dyDescent="0.25">
      <c r="B7" s="135" t="str">
        <f>HYPERLINK("https://www.pbo.gov.au/elections/2025-general-election/2025-election-commitments-costings/adjust-fuel-excise-25c-litre-reduction", "ECR-2025-2457")</f>
        <v>ECR-2025-2457</v>
      </c>
      <c r="C7" s="59" t="s">
        <v>412</v>
      </c>
      <c r="D7" s="60">
        <v>-6613.2</v>
      </c>
      <c r="E7" s="60">
        <v>666.3</v>
      </c>
      <c r="F7" s="60">
        <v>0</v>
      </c>
      <c r="G7" s="60">
        <v>0</v>
      </c>
      <c r="H7" s="60">
        <v>0</v>
      </c>
      <c r="I7" s="60">
        <v>0</v>
      </c>
      <c r="J7" s="60">
        <v>0</v>
      </c>
      <c r="K7" s="60">
        <v>0</v>
      </c>
      <c r="L7" s="60">
        <v>0</v>
      </c>
      <c r="M7" s="60">
        <v>0</v>
      </c>
      <c r="N7" s="60">
        <v>0</v>
      </c>
      <c r="O7" s="60">
        <v>-5946.9</v>
      </c>
      <c r="P7" s="60">
        <v>-5946.9</v>
      </c>
      <c r="Q7" s="64"/>
      <c r="R7" s="64"/>
      <c r="S7" s="59" t="s">
        <v>290</v>
      </c>
      <c r="U7" s="53"/>
      <c r="V7" s="53"/>
      <c r="W7" s="53"/>
      <c r="X7" s="53"/>
      <c r="Y7" s="53"/>
      <c r="Z7" s="53"/>
      <c r="AA7" s="53"/>
      <c r="AB7" s="53"/>
      <c r="AC7" s="53"/>
      <c r="AD7" s="53"/>
      <c r="AE7" s="53"/>
      <c r="AF7" s="53"/>
      <c r="AG7" s="53"/>
    </row>
    <row r="8" spans="1:33" ht="15" customHeight="1" x14ac:dyDescent="0.25">
      <c r="B8" s="135" t="str">
        <f>HYPERLINK("https://www.pbo.gov.au/elections/2025-general-election/2025-election-commitments-costings/annualisation-general-social-survey-measuring-what-matters-reverse", "ECR-2025-2527")</f>
        <v>ECR-2025-2527</v>
      </c>
      <c r="C8" s="59" t="s">
        <v>152</v>
      </c>
      <c r="D8" s="60">
        <v>3.4</v>
      </c>
      <c r="E8" s="60">
        <v>3.6</v>
      </c>
      <c r="F8" s="60">
        <v>3.6</v>
      </c>
      <c r="G8" s="60">
        <v>3.6</v>
      </c>
      <c r="H8" s="60">
        <v>3.7</v>
      </c>
      <c r="I8" s="60">
        <v>3.8</v>
      </c>
      <c r="J8" s="60">
        <v>3.9</v>
      </c>
      <c r="K8" s="60">
        <v>4</v>
      </c>
      <c r="L8" s="60">
        <v>4.0999999999999996</v>
      </c>
      <c r="M8" s="60">
        <v>4.2</v>
      </c>
      <c r="N8" s="60">
        <v>4.3</v>
      </c>
      <c r="O8" s="60">
        <v>14.2</v>
      </c>
      <c r="P8" s="60">
        <v>42.2</v>
      </c>
      <c r="Q8" s="64"/>
      <c r="R8" s="64"/>
      <c r="S8" s="59" t="s">
        <v>261</v>
      </c>
      <c r="U8" s="53"/>
      <c r="V8" s="53"/>
      <c r="W8" s="53"/>
      <c r="X8" s="53"/>
      <c r="Y8" s="53"/>
      <c r="Z8" s="53"/>
      <c r="AA8" s="53"/>
      <c r="AB8" s="53"/>
      <c r="AC8" s="53"/>
      <c r="AD8" s="53"/>
      <c r="AE8" s="53"/>
      <c r="AF8" s="53"/>
      <c r="AG8" s="53"/>
    </row>
    <row r="9" spans="1:33" ht="15" customHeight="1" x14ac:dyDescent="0.25">
      <c r="B9" s="135" t="str">
        <f>HYPERLINK("https://www.pbo.gov.au/elections/2025-general-election/2025-election-commitments-costings/australian-small-business-and-family-enterprise-ombudsman", "ECR-2025-2449")</f>
        <v>ECR-2025-2449</v>
      </c>
      <c r="C9" s="59" t="s">
        <v>203</v>
      </c>
      <c r="D9" s="60">
        <v>-8</v>
      </c>
      <c r="E9" s="60">
        <v>-1.5</v>
      </c>
      <c r="F9" s="60">
        <v>-1.3</v>
      </c>
      <c r="G9" s="60">
        <v>-1.3</v>
      </c>
      <c r="H9" s="60">
        <v>-1.4</v>
      </c>
      <c r="I9" s="60">
        <v>-1.4</v>
      </c>
      <c r="J9" s="60">
        <v>-1.4</v>
      </c>
      <c r="K9" s="60">
        <v>-1.4</v>
      </c>
      <c r="L9" s="60">
        <v>-1.4</v>
      </c>
      <c r="M9" s="60">
        <v>-1.5</v>
      </c>
      <c r="N9" s="60">
        <v>-1.5</v>
      </c>
      <c r="O9" s="60">
        <v>-12.1</v>
      </c>
      <c r="P9" s="60">
        <v>-22.1</v>
      </c>
      <c r="Q9" s="64"/>
      <c r="R9" s="64"/>
      <c r="S9" s="59" t="s">
        <v>291</v>
      </c>
      <c r="U9" s="53"/>
      <c r="V9" s="53"/>
      <c r="W9" s="53"/>
      <c r="X9" s="53"/>
      <c r="Y9" s="53"/>
      <c r="Z9" s="53"/>
      <c r="AA9" s="53"/>
      <c r="AB9" s="53"/>
      <c r="AC9" s="53"/>
      <c r="AD9" s="53"/>
      <c r="AE9" s="53"/>
      <c r="AF9" s="53"/>
      <c r="AG9" s="53"/>
    </row>
    <row r="10" spans="1:33" ht="15" customHeight="1" x14ac:dyDescent="0.25">
      <c r="B10" s="135" t="str">
        <f>HYPERLINK("https://www.pbo.gov.au/elections/2025-general-election/2025-election-commitments-costings/australian-tertiary-education-commission-not-proceeding", "ECR-2025-2402")</f>
        <v>ECR-2025-2402</v>
      </c>
      <c r="C10" s="59" t="s">
        <v>146</v>
      </c>
      <c r="D10" s="60">
        <v>5.4</v>
      </c>
      <c r="E10" s="60">
        <v>6</v>
      </c>
      <c r="F10" s="60">
        <v>6</v>
      </c>
      <c r="G10" s="60">
        <v>5.6</v>
      </c>
      <c r="H10" s="60">
        <v>5.6</v>
      </c>
      <c r="I10" s="60">
        <v>4.3</v>
      </c>
      <c r="J10" s="60">
        <v>4.8</v>
      </c>
      <c r="K10" s="60">
        <v>4.4000000000000004</v>
      </c>
      <c r="L10" s="60">
        <v>4.5</v>
      </c>
      <c r="M10" s="60">
        <v>4.5</v>
      </c>
      <c r="N10" s="60">
        <v>4.5999999999999996</v>
      </c>
      <c r="O10" s="60">
        <v>23</v>
      </c>
      <c r="P10" s="60">
        <v>55.7</v>
      </c>
      <c r="Q10" s="64"/>
      <c r="R10" s="64"/>
      <c r="S10" s="59" t="s">
        <v>292</v>
      </c>
      <c r="U10" s="53"/>
      <c r="V10" s="53"/>
      <c r="W10" s="53"/>
      <c r="X10" s="53"/>
      <c r="Y10" s="53"/>
      <c r="Z10" s="53"/>
      <c r="AA10" s="53"/>
      <c r="AB10" s="53"/>
      <c r="AC10" s="53"/>
      <c r="AD10" s="53"/>
      <c r="AE10" s="53"/>
      <c r="AF10" s="53"/>
      <c r="AG10" s="53"/>
    </row>
    <row r="11" spans="1:33" ht="15" customHeight="1" x14ac:dyDescent="0.25">
      <c r="B11" s="135" t="str">
        <f>HYPERLINK("https://www.pbo.gov.au/elections/2025-general-election/2025-election-commitments-costings/cease-duplicative-research-activities-climate-change-authority", "ECR-2025-2493")</f>
        <v>ECR-2025-2493</v>
      </c>
      <c r="C11" s="59" t="s">
        <v>142</v>
      </c>
      <c r="D11" s="60">
        <v>2.8</v>
      </c>
      <c r="E11" s="60">
        <v>2.8</v>
      </c>
      <c r="F11" s="60">
        <v>2.8</v>
      </c>
      <c r="G11" s="60">
        <v>2.8</v>
      </c>
      <c r="H11" s="60">
        <v>2.8</v>
      </c>
      <c r="I11" s="60">
        <v>2.8</v>
      </c>
      <c r="J11" s="60">
        <v>2.9</v>
      </c>
      <c r="K11" s="60">
        <v>2.9</v>
      </c>
      <c r="L11" s="60">
        <v>2.9</v>
      </c>
      <c r="M11" s="60">
        <v>2.9</v>
      </c>
      <c r="N11" s="60">
        <v>3</v>
      </c>
      <c r="O11" s="60">
        <v>11.2</v>
      </c>
      <c r="P11" s="60">
        <v>31.4</v>
      </c>
      <c r="Q11" s="64"/>
      <c r="R11" s="64"/>
      <c r="S11" s="59" t="s">
        <v>261</v>
      </c>
      <c r="U11" s="53"/>
      <c r="V11" s="53"/>
      <c r="W11" s="53"/>
      <c r="X11" s="53"/>
      <c r="Y11" s="53"/>
      <c r="Z11" s="53"/>
      <c r="AA11" s="53"/>
      <c r="AB11" s="53"/>
      <c r="AC11" s="53"/>
      <c r="AD11" s="53"/>
      <c r="AE11" s="53"/>
      <c r="AF11" s="53"/>
      <c r="AG11" s="53"/>
    </row>
    <row r="12" spans="1:33" ht="15" customHeight="1" x14ac:dyDescent="0.25">
      <c r="B12" s="135" t="str">
        <f>HYPERLINK("https://www.pbo.gov.au/elections/2025-general-election/2025-election-commitments-costings/deliver-national-gas-plan-cease-funding-environmental-defenders-office", "ECR-2025-2786")</f>
        <v>ECR-2025-2786</v>
      </c>
      <c r="C12" s="59" t="s">
        <v>201</v>
      </c>
      <c r="D12" s="60">
        <v>0</v>
      </c>
      <c r="E12" s="60">
        <v>0</v>
      </c>
      <c r="F12" s="60">
        <v>2.2000000000000002</v>
      </c>
      <c r="G12" s="60">
        <v>2.2999999999999998</v>
      </c>
      <c r="H12" s="60">
        <v>2.2999999999999998</v>
      </c>
      <c r="I12" s="60">
        <v>2.4</v>
      </c>
      <c r="J12" s="60">
        <v>2.4</v>
      </c>
      <c r="K12" s="60">
        <v>2.5</v>
      </c>
      <c r="L12" s="60">
        <v>2.5</v>
      </c>
      <c r="M12" s="60">
        <v>2.6</v>
      </c>
      <c r="N12" s="60">
        <v>2.6</v>
      </c>
      <c r="O12" s="60">
        <v>4.5</v>
      </c>
      <c r="P12" s="60">
        <v>21.8</v>
      </c>
      <c r="Q12" s="64"/>
      <c r="R12" s="64"/>
      <c r="S12" s="59" t="s">
        <v>276</v>
      </c>
      <c r="U12" s="53"/>
      <c r="V12" s="53"/>
      <c r="W12" s="53"/>
      <c r="X12" s="53"/>
      <c r="Y12" s="53"/>
      <c r="Z12" s="53"/>
      <c r="AA12" s="53"/>
      <c r="AB12" s="53"/>
      <c r="AC12" s="53"/>
      <c r="AD12" s="53"/>
      <c r="AE12" s="53"/>
      <c r="AF12" s="53"/>
      <c r="AG12" s="53"/>
    </row>
    <row r="13" spans="1:33" ht="15" customHeight="1" x14ac:dyDescent="0.25">
      <c r="B13" s="135" t="str">
        <f>HYPERLINK("https://www.pbo.gov.au/elections/2025-general-election/2025-election-commitments-costings/cease-undersubscribed-covid-era-securitisation-measures", "ECR-2025-2065")</f>
        <v>ECR-2025-2065</v>
      </c>
      <c r="C13" s="59" t="s">
        <v>194</v>
      </c>
      <c r="D13" s="60">
        <v>107.7</v>
      </c>
      <c r="E13" s="60">
        <v>112.7</v>
      </c>
      <c r="F13" s="60">
        <v>117.7</v>
      </c>
      <c r="G13" s="60">
        <v>123.9</v>
      </c>
      <c r="H13" s="60">
        <v>130</v>
      </c>
      <c r="I13" s="60">
        <v>135</v>
      </c>
      <c r="J13" s="60">
        <v>141</v>
      </c>
      <c r="K13" s="60">
        <v>148.1</v>
      </c>
      <c r="L13" s="60">
        <v>155.1</v>
      </c>
      <c r="M13" s="60">
        <v>162.19999999999999</v>
      </c>
      <c r="N13" s="60">
        <v>192.2</v>
      </c>
      <c r="O13" s="60">
        <v>462</v>
      </c>
      <c r="P13" s="60">
        <v>1525.6</v>
      </c>
      <c r="Q13" s="64"/>
      <c r="R13" s="64"/>
      <c r="S13" s="59" t="s">
        <v>261</v>
      </c>
      <c r="U13" s="53"/>
      <c r="V13" s="53"/>
      <c r="W13" s="53"/>
      <c r="X13" s="53"/>
      <c r="Y13" s="53"/>
      <c r="Z13" s="53"/>
      <c r="AA13" s="53"/>
      <c r="AB13" s="53"/>
      <c r="AC13" s="53"/>
      <c r="AD13" s="53"/>
      <c r="AE13" s="53"/>
      <c r="AF13" s="53"/>
      <c r="AG13" s="53"/>
    </row>
    <row r="14" spans="1:33" ht="15" customHeight="1" x14ac:dyDescent="0.25">
      <c r="B14" s="135" t="str">
        <f>HYPERLINK("https://www.pbo.gov.au/elections/2025-general-election/2025-election-commitments-costings/Cost%20of%20Living%20Tax%20Offset", "ECR-2025-2666")</f>
        <v>ECR-2025-2666</v>
      </c>
      <c r="C14" s="59" t="s">
        <v>218</v>
      </c>
      <c r="D14" s="60">
        <v>0</v>
      </c>
      <c r="E14" s="60">
        <v>-10700</v>
      </c>
      <c r="F14" s="60">
        <v>-600</v>
      </c>
      <c r="G14" s="60">
        <v>0</v>
      </c>
      <c r="H14" s="60">
        <v>0</v>
      </c>
      <c r="I14" s="60">
        <v>0</v>
      </c>
      <c r="J14" s="60">
        <v>0</v>
      </c>
      <c r="K14" s="60">
        <v>0</v>
      </c>
      <c r="L14" s="60">
        <v>0</v>
      </c>
      <c r="M14" s="60">
        <v>0</v>
      </c>
      <c r="N14" s="60">
        <v>0</v>
      </c>
      <c r="O14" s="60">
        <v>-11300</v>
      </c>
      <c r="P14" s="60">
        <v>-11300</v>
      </c>
      <c r="Q14" s="64"/>
      <c r="R14" s="64"/>
      <c r="S14" s="59" t="s">
        <v>293</v>
      </c>
      <c r="U14" s="53"/>
      <c r="V14" s="53"/>
      <c r="W14" s="53"/>
      <c r="X14" s="53"/>
      <c r="Y14" s="53"/>
      <c r="Z14" s="53"/>
      <c r="AA14" s="53"/>
      <c r="AB14" s="53"/>
      <c r="AC14" s="53"/>
      <c r="AD14" s="53"/>
      <c r="AE14" s="53"/>
      <c r="AF14" s="53"/>
      <c r="AG14" s="53"/>
    </row>
    <row r="15" spans="1:33" ht="15" customHeight="1" x14ac:dyDescent="0.25">
      <c r="B15" s="59" t="s">
        <v>111</v>
      </c>
      <c r="C15" s="59" t="s">
        <v>413</v>
      </c>
      <c r="D15" s="60">
        <v>0</v>
      </c>
      <c r="E15" s="60">
        <v>0</v>
      </c>
      <c r="F15" s="60">
        <v>0</v>
      </c>
      <c r="G15" s="60">
        <v>0</v>
      </c>
      <c r="H15" s="60">
        <v>0</v>
      </c>
      <c r="I15" s="60">
        <v>0</v>
      </c>
      <c r="J15" s="60">
        <v>0</v>
      </c>
      <c r="K15" s="60">
        <v>0</v>
      </c>
      <c r="L15" s="60">
        <v>0</v>
      </c>
      <c r="M15" s="60">
        <v>0</v>
      </c>
      <c r="N15" s="60">
        <v>0</v>
      </c>
      <c r="O15" s="60">
        <v>0</v>
      </c>
      <c r="P15" s="60">
        <v>0</v>
      </c>
      <c r="Q15" s="64"/>
      <c r="R15" s="64"/>
      <c r="S15" s="59" t="s">
        <v>294</v>
      </c>
      <c r="U15" s="53"/>
      <c r="V15" s="53"/>
      <c r="W15" s="53"/>
      <c r="X15" s="53"/>
      <c r="Y15" s="53"/>
      <c r="Z15" s="53"/>
      <c r="AA15" s="53"/>
      <c r="AB15" s="53"/>
      <c r="AC15" s="53"/>
      <c r="AD15" s="53"/>
      <c r="AE15" s="53"/>
      <c r="AF15" s="53"/>
      <c r="AG15" s="53"/>
    </row>
    <row r="16" spans="1:33" ht="15" customHeight="1" x14ac:dyDescent="0.25">
      <c r="B16" s="59" t="s">
        <v>113</v>
      </c>
      <c r="C16" s="59" t="s">
        <v>414</v>
      </c>
      <c r="D16" s="60">
        <v>0</v>
      </c>
      <c r="E16" s="60">
        <v>0</v>
      </c>
      <c r="F16" s="60">
        <v>0</v>
      </c>
      <c r="G16" s="60">
        <v>0</v>
      </c>
      <c r="H16" s="60">
        <v>0</v>
      </c>
      <c r="I16" s="60">
        <v>0</v>
      </c>
      <c r="J16" s="60">
        <v>0</v>
      </c>
      <c r="K16" s="60">
        <v>0</v>
      </c>
      <c r="L16" s="60">
        <v>0</v>
      </c>
      <c r="M16" s="60">
        <v>0</v>
      </c>
      <c r="N16" s="60">
        <v>0</v>
      </c>
      <c r="O16" s="60">
        <v>0</v>
      </c>
      <c r="P16" s="60">
        <v>0</v>
      </c>
      <c r="Q16" s="64"/>
      <c r="R16" s="64"/>
      <c r="S16" s="59" t="s">
        <v>261</v>
      </c>
      <c r="U16" s="53"/>
      <c r="V16" s="53"/>
      <c r="W16" s="53"/>
      <c r="X16" s="53"/>
      <c r="Y16" s="53"/>
      <c r="Z16" s="53"/>
      <c r="AA16" s="53"/>
      <c r="AB16" s="53"/>
      <c r="AC16" s="53"/>
      <c r="AD16" s="53"/>
      <c r="AE16" s="53"/>
      <c r="AF16" s="53"/>
      <c r="AG16" s="53"/>
    </row>
    <row r="17" spans="2:33" ht="15" customHeight="1" x14ac:dyDescent="0.25">
      <c r="B17" s="135" t="str">
        <f>HYPERLINK("https://www.pbo.gov.au/elections/2025-general-election/2025-election-commitments-costings/critical-minerals-production-tax-credits-do-not-proceed", "ECR-2025-2198")</f>
        <v>ECR-2025-2198</v>
      </c>
      <c r="C17" s="59" t="s">
        <v>145</v>
      </c>
      <c r="D17" s="60">
        <v>0</v>
      </c>
      <c r="E17" s="60">
        <v>0</v>
      </c>
      <c r="F17" s="60">
        <v>287.89999999999998</v>
      </c>
      <c r="G17" s="60">
        <v>923.2</v>
      </c>
      <c r="H17" s="60">
        <v>963.2</v>
      </c>
      <c r="I17" s="60">
        <v>1083.3</v>
      </c>
      <c r="J17" s="60">
        <v>1173.3</v>
      </c>
      <c r="K17" s="60">
        <v>1233.4000000000001</v>
      </c>
      <c r="L17" s="60">
        <v>1303.4000000000001</v>
      </c>
      <c r="M17" s="60">
        <v>1383.4</v>
      </c>
      <c r="N17" s="60">
        <v>1553.5</v>
      </c>
      <c r="O17" s="60">
        <v>1211.0999999999999</v>
      </c>
      <c r="P17" s="60">
        <v>9904.6</v>
      </c>
      <c r="Q17" s="64"/>
      <c r="R17" s="64"/>
      <c r="S17" s="59" t="s">
        <v>261</v>
      </c>
      <c r="U17" s="53"/>
      <c r="V17" s="53"/>
      <c r="W17" s="53"/>
      <c r="X17" s="53"/>
      <c r="Y17" s="53"/>
      <c r="Z17" s="53"/>
      <c r="AA17" s="53"/>
      <c r="AB17" s="53"/>
      <c r="AC17" s="53"/>
      <c r="AD17" s="53"/>
      <c r="AE17" s="53"/>
      <c r="AF17" s="53"/>
      <c r="AG17" s="53"/>
    </row>
    <row r="18" spans="2:33" ht="15" customHeight="1" x14ac:dyDescent="0.25">
      <c r="B18" s="135" t="str">
        <f>HYPERLINK("https://www.pbo.gov.au/elections/2025-general-election/2025-election-commitments-costings/ditrdca-net-zero-unit-and-maritime-strategic-fleet-reprioritisation", "ECR-2025-2522")</f>
        <v>ECR-2025-2522</v>
      </c>
      <c r="C18" s="59" t="s">
        <v>246</v>
      </c>
      <c r="D18" s="60">
        <v>2</v>
      </c>
      <c r="E18" s="60">
        <v>2.1</v>
      </c>
      <c r="F18" s="60">
        <v>2.1</v>
      </c>
      <c r="G18" s="60">
        <v>2.1</v>
      </c>
      <c r="H18" s="60">
        <v>2.2000000000000002</v>
      </c>
      <c r="I18" s="60">
        <v>2.2000000000000002</v>
      </c>
      <c r="J18" s="60">
        <v>2.2000000000000002</v>
      </c>
      <c r="K18" s="60">
        <v>2.2000000000000002</v>
      </c>
      <c r="L18" s="60">
        <v>2.2999999999999998</v>
      </c>
      <c r="M18" s="60">
        <v>2.2999999999999998</v>
      </c>
      <c r="N18" s="60">
        <v>2.2999999999999998</v>
      </c>
      <c r="O18" s="60">
        <v>8.3000000000000007</v>
      </c>
      <c r="P18" s="60">
        <v>24</v>
      </c>
      <c r="Q18" s="64"/>
      <c r="R18" s="64"/>
      <c r="S18" s="59" t="s">
        <v>261</v>
      </c>
      <c r="U18" s="53"/>
      <c r="V18" s="53"/>
      <c r="W18" s="53"/>
      <c r="X18" s="53"/>
      <c r="Y18" s="53"/>
      <c r="Z18" s="53"/>
      <c r="AA18" s="53"/>
      <c r="AB18" s="53"/>
      <c r="AC18" s="53"/>
      <c r="AD18" s="53"/>
      <c r="AE18" s="53"/>
      <c r="AF18" s="53"/>
      <c r="AG18" s="53"/>
    </row>
    <row r="19" spans="2:33" ht="15" customHeight="1" x14ac:dyDescent="0.25">
      <c r="B19" s="135" t="str">
        <f>HYPERLINK("https://www.pbo.gov.au/elections/2025-general-election/2025-election-commitments-costings/Early%E2%80%91stage%20venture%20capital%20cap%20and%20venture%20capital%20cap%20%E2%80%93%20increase%20and%20index", "ECR-2025-2096")</f>
        <v>ECR-2025-2096</v>
      </c>
      <c r="C19" s="59" t="s">
        <v>415</v>
      </c>
      <c r="D19" s="60" t="s">
        <v>11</v>
      </c>
      <c r="E19" s="60" t="s">
        <v>11</v>
      </c>
      <c r="F19" s="60" t="s">
        <v>11</v>
      </c>
      <c r="G19" s="60" t="s">
        <v>11</v>
      </c>
      <c r="H19" s="60" t="s">
        <v>11</v>
      </c>
      <c r="I19" s="60" t="s">
        <v>11</v>
      </c>
      <c r="J19" s="60" t="s">
        <v>11</v>
      </c>
      <c r="K19" s="60" t="s">
        <v>11</v>
      </c>
      <c r="L19" s="60" t="s">
        <v>11</v>
      </c>
      <c r="M19" s="60" t="s">
        <v>11</v>
      </c>
      <c r="N19" s="60" t="s">
        <v>11</v>
      </c>
      <c r="O19" s="60" t="s">
        <v>11</v>
      </c>
      <c r="P19" s="60" t="s">
        <v>11</v>
      </c>
      <c r="Q19" s="64"/>
      <c r="R19" s="64"/>
      <c r="S19" s="59" t="s">
        <v>291</v>
      </c>
      <c r="U19" s="53"/>
      <c r="V19" s="53"/>
      <c r="W19" s="53"/>
      <c r="X19" s="53"/>
      <c r="Y19" s="53"/>
      <c r="Z19" s="53"/>
      <c r="AA19" s="53"/>
      <c r="AB19" s="53"/>
      <c r="AC19" s="53"/>
      <c r="AD19" s="53"/>
      <c r="AE19" s="53"/>
      <c r="AF19" s="53"/>
      <c r="AG19" s="53"/>
    </row>
    <row r="20" spans="2:33" ht="15" customHeight="1" x14ac:dyDescent="0.25">
      <c r="B20" s="135" t="str">
        <f>HYPERLINK("https://www.pbo.gov.au/elections/2025-general-election/2025-election-commitments-costings/entrepreneurship-accelerator-tax-incentive", "ECR-2025-2472")</f>
        <v>ECR-2025-2472</v>
      </c>
      <c r="C20" s="59" t="s">
        <v>416</v>
      </c>
      <c r="D20" s="60">
        <v>-4.0999999999999996</v>
      </c>
      <c r="E20" s="60">
        <v>-387.9</v>
      </c>
      <c r="F20" s="60">
        <v>-610.6</v>
      </c>
      <c r="G20" s="60">
        <v>-789.4</v>
      </c>
      <c r="H20" s="60">
        <v>-397.4</v>
      </c>
      <c r="I20" s="60">
        <v>-174.4</v>
      </c>
      <c r="J20" s="60">
        <v>0</v>
      </c>
      <c r="K20" s="60">
        <v>0</v>
      </c>
      <c r="L20" s="60">
        <v>0</v>
      </c>
      <c r="M20" s="60">
        <v>0</v>
      </c>
      <c r="N20" s="60">
        <v>0</v>
      </c>
      <c r="O20" s="60">
        <v>-1792</v>
      </c>
      <c r="P20" s="60">
        <v>-2363.8000000000002</v>
      </c>
      <c r="Q20" s="64"/>
      <c r="R20" s="64"/>
      <c r="S20" s="59" t="s">
        <v>291</v>
      </c>
      <c r="U20" s="53"/>
      <c r="V20" s="53"/>
      <c r="W20" s="53"/>
      <c r="X20" s="53"/>
      <c r="Y20" s="53"/>
      <c r="Z20" s="53"/>
      <c r="AA20" s="53"/>
      <c r="AB20" s="53"/>
      <c r="AC20" s="53"/>
      <c r="AD20" s="53"/>
      <c r="AE20" s="53"/>
      <c r="AF20" s="53"/>
      <c r="AG20" s="53"/>
    </row>
    <row r="21" spans="2:33" ht="15" customHeight="1" x14ac:dyDescent="0.25">
      <c r="B21" s="59" t="s">
        <v>112</v>
      </c>
      <c r="C21" s="59" t="s">
        <v>392</v>
      </c>
      <c r="D21" s="60">
        <v>0</v>
      </c>
      <c r="E21" s="60">
        <v>0</v>
      </c>
      <c r="F21" s="60">
        <v>0</v>
      </c>
      <c r="G21" s="60">
        <v>0</v>
      </c>
      <c r="H21" s="60">
        <v>0</v>
      </c>
      <c r="I21" s="60">
        <v>0</v>
      </c>
      <c r="J21" s="60">
        <v>0</v>
      </c>
      <c r="K21" s="60">
        <v>0</v>
      </c>
      <c r="L21" s="60">
        <v>0</v>
      </c>
      <c r="M21" s="60">
        <v>0</v>
      </c>
      <c r="N21" s="60">
        <v>0</v>
      </c>
      <c r="O21" s="60">
        <v>0</v>
      </c>
      <c r="P21" s="60">
        <v>0</v>
      </c>
      <c r="Q21" s="64"/>
      <c r="R21" s="64"/>
      <c r="S21" s="59" t="s">
        <v>295</v>
      </c>
      <c r="U21" s="53"/>
      <c r="V21" s="53"/>
      <c r="W21" s="53"/>
      <c r="X21" s="53"/>
      <c r="Y21" s="53"/>
      <c r="Z21" s="53"/>
      <c r="AA21" s="53"/>
      <c r="AB21" s="53"/>
      <c r="AC21" s="53"/>
      <c r="AD21" s="53"/>
      <c r="AE21" s="53"/>
      <c r="AF21" s="53"/>
      <c r="AG21" s="53"/>
    </row>
    <row r="22" spans="2:33" ht="15" customHeight="1" x14ac:dyDescent="0.25">
      <c r="B22" s="135" t="str">
        <f>HYPERLINK("https://www.pbo.gov.au/elections/2025-general-election/2025-election-commitments-costings/export-growth-grants-tariff-affected-sectors", "ECR-2025-2393")</f>
        <v>ECR-2025-2393</v>
      </c>
      <c r="C22" s="59" t="s">
        <v>156</v>
      </c>
      <c r="D22" s="60">
        <v>-12.5</v>
      </c>
      <c r="E22" s="60">
        <v>-12.5</v>
      </c>
      <c r="F22" s="60">
        <v>-12.5</v>
      </c>
      <c r="G22" s="60">
        <v>-12.5</v>
      </c>
      <c r="H22" s="60">
        <v>-12.5</v>
      </c>
      <c r="I22" s="60">
        <v>-12.5</v>
      </c>
      <c r="J22" s="60">
        <v>-12.5</v>
      </c>
      <c r="K22" s="60">
        <v>-12.5</v>
      </c>
      <c r="L22" s="60">
        <v>-12.5</v>
      </c>
      <c r="M22" s="60">
        <v>-12.5</v>
      </c>
      <c r="N22" s="60">
        <v>-12.5</v>
      </c>
      <c r="O22" s="60">
        <v>-50</v>
      </c>
      <c r="P22" s="60">
        <v>-137.5</v>
      </c>
      <c r="Q22" s="64"/>
      <c r="R22" s="64"/>
      <c r="S22" s="59" t="s">
        <v>261</v>
      </c>
      <c r="U22" s="53"/>
      <c r="V22" s="53"/>
      <c r="W22" s="53"/>
      <c r="X22" s="53"/>
      <c r="Y22" s="53"/>
      <c r="Z22" s="53"/>
      <c r="AA22" s="53"/>
      <c r="AB22" s="53"/>
      <c r="AC22" s="53"/>
      <c r="AD22" s="53"/>
      <c r="AE22" s="53"/>
      <c r="AF22" s="53"/>
      <c r="AG22" s="53"/>
    </row>
    <row r="23" spans="2:33" ht="15" customHeight="1" x14ac:dyDescent="0.25">
      <c r="B23" s="135" t="str">
        <f>HYPERLINK("https://www.pbo.gov.au/elections/2025-general-election/2025-election-commitments-costings/future-made-australia-attracting-investments-key-industries-redirect", "ECR-2025-2001")</f>
        <v>ECR-2025-2001</v>
      </c>
      <c r="C23" s="59" t="s">
        <v>154</v>
      </c>
      <c r="D23" s="60">
        <v>2.9</v>
      </c>
      <c r="E23" s="60">
        <v>2.9</v>
      </c>
      <c r="F23" s="60">
        <v>3.1</v>
      </c>
      <c r="G23" s="60">
        <v>3.1</v>
      </c>
      <c r="H23" s="60">
        <v>3.1</v>
      </c>
      <c r="I23" s="60">
        <v>3.1</v>
      </c>
      <c r="J23" s="60">
        <v>3.2</v>
      </c>
      <c r="K23" s="60">
        <v>3.2</v>
      </c>
      <c r="L23" s="60">
        <v>3.2</v>
      </c>
      <c r="M23" s="60">
        <v>3.3</v>
      </c>
      <c r="N23" s="60">
        <v>3.4</v>
      </c>
      <c r="O23" s="60">
        <v>12</v>
      </c>
      <c r="P23" s="60">
        <v>34.5</v>
      </c>
      <c r="Q23" s="64"/>
      <c r="R23" s="64"/>
      <c r="S23" s="59" t="s">
        <v>261</v>
      </c>
      <c r="U23" s="53"/>
      <c r="V23" s="53"/>
      <c r="W23" s="53"/>
      <c r="X23" s="53"/>
      <c r="Y23" s="53"/>
      <c r="Z23" s="53"/>
      <c r="AA23" s="53"/>
      <c r="AB23" s="53"/>
      <c r="AC23" s="53"/>
      <c r="AD23" s="53"/>
      <c r="AE23" s="53"/>
      <c r="AF23" s="53"/>
      <c r="AG23" s="53"/>
    </row>
    <row r="24" spans="2:33" ht="15" customHeight="1" x14ac:dyDescent="0.25">
      <c r="B24" s="135" t="str">
        <f>HYPERLINK("https://www.pbo.gov.au/elections/2025-general-election/2025-election-commitments-costings/grants-attorney-generals-and-foreign-affairs-and-trade-portfolios-prioritise", "ECR-2025-2890")</f>
        <v>ECR-2025-2890</v>
      </c>
      <c r="C24" s="59" t="s">
        <v>153</v>
      </c>
      <c r="D24" s="60">
        <v>23.9</v>
      </c>
      <c r="E24" s="60">
        <v>42.9</v>
      </c>
      <c r="F24" s="60">
        <v>42.5</v>
      </c>
      <c r="G24" s="60">
        <v>43.4</v>
      </c>
      <c r="H24" s="60">
        <v>42.9</v>
      </c>
      <c r="I24" s="60">
        <v>43.8</v>
      </c>
      <c r="J24" s="60">
        <v>44.8</v>
      </c>
      <c r="K24" s="60">
        <v>45.9</v>
      </c>
      <c r="L24" s="60">
        <v>46.9</v>
      </c>
      <c r="M24" s="60">
        <v>48</v>
      </c>
      <c r="N24" s="60">
        <v>49.1</v>
      </c>
      <c r="O24" s="60">
        <v>152.69999999999999</v>
      </c>
      <c r="P24" s="60">
        <v>474.1</v>
      </c>
      <c r="Q24" s="64"/>
      <c r="R24" s="64"/>
      <c r="S24" s="59" t="s">
        <v>261</v>
      </c>
      <c r="U24" s="53"/>
      <c r="V24" s="53"/>
      <c r="W24" s="53"/>
      <c r="X24" s="53"/>
      <c r="Y24" s="53"/>
      <c r="Z24" s="53"/>
      <c r="AA24" s="53"/>
      <c r="AB24" s="53"/>
      <c r="AC24" s="53"/>
      <c r="AD24" s="53"/>
      <c r="AE24" s="53"/>
      <c r="AF24" s="53"/>
      <c r="AG24" s="53"/>
    </row>
    <row r="25" spans="2:33" ht="15" customHeight="1" x14ac:dyDescent="0.25">
      <c r="B25" s="135" t="str">
        <f>HYPERLINK("https://www.pbo.gov.au/elections/2025-general-election/2025-election-commitments-costings/green-aluminium-production-credit", "ECR-2025-2262")</f>
        <v>ECR-2025-2262</v>
      </c>
      <c r="C25" s="59" t="s">
        <v>163</v>
      </c>
      <c r="D25" s="60">
        <v>2.4</v>
      </c>
      <c r="E25" s="60">
        <v>1.4</v>
      </c>
      <c r="F25" s="60">
        <v>2.2999999999999998</v>
      </c>
      <c r="G25" s="60">
        <v>2.1</v>
      </c>
      <c r="H25" s="60">
        <v>115.8</v>
      </c>
      <c r="I25" s="60">
        <v>115.2</v>
      </c>
      <c r="J25" s="60">
        <v>116.5</v>
      </c>
      <c r="K25" s="60">
        <v>114.7</v>
      </c>
      <c r="L25" s="60">
        <v>172.3</v>
      </c>
      <c r="M25" s="60">
        <v>171.7</v>
      </c>
      <c r="N25" s="60">
        <v>171.7</v>
      </c>
      <c r="O25" s="60">
        <v>8.1999999999999993</v>
      </c>
      <c r="P25" s="60">
        <v>986.1</v>
      </c>
      <c r="Q25" s="64"/>
      <c r="R25" s="64"/>
      <c r="S25" s="59" t="s">
        <v>261</v>
      </c>
      <c r="U25" s="53"/>
      <c r="V25" s="53"/>
      <c r="W25" s="53"/>
      <c r="X25" s="53"/>
      <c r="Y25" s="53"/>
      <c r="Z25" s="53"/>
      <c r="AA25" s="53"/>
      <c r="AB25" s="53"/>
      <c r="AC25" s="53"/>
      <c r="AD25" s="53"/>
      <c r="AE25" s="53"/>
      <c r="AF25" s="53"/>
      <c r="AG25" s="53"/>
    </row>
    <row r="26" spans="2:33" ht="15" customHeight="1" x14ac:dyDescent="0.25">
      <c r="B26" s="135" t="str">
        <f>HYPERLINK("https://www.pbo.gov.au/elections/2025-general-election/2025-election-commitments-costings/green-hydrogen-production-tax-incentives", "ECR-2025-2013")</f>
        <v>ECR-2025-2013</v>
      </c>
      <c r="C26" s="59" t="s">
        <v>155</v>
      </c>
      <c r="D26" s="60">
        <v>4.9000000000000004</v>
      </c>
      <c r="E26" s="60">
        <v>112.6</v>
      </c>
      <c r="F26" s="60">
        <v>481.1</v>
      </c>
      <c r="G26" s="60">
        <v>927.8</v>
      </c>
      <c r="H26" s="60">
        <v>1157.5999999999999</v>
      </c>
      <c r="I26" s="60">
        <v>1339.7</v>
      </c>
      <c r="J26" s="60">
        <v>1338.6</v>
      </c>
      <c r="K26" s="60">
        <v>1350.4</v>
      </c>
      <c r="L26" s="60">
        <v>1344.7</v>
      </c>
      <c r="M26" s="60">
        <v>1343.7</v>
      </c>
      <c r="N26" s="60">
        <v>1343.7</v>
      </c>
      <c r="O26" s="60">
        <v>1526.4</v>
      </c>
      <c r="P26" s="60">
        <v>10744.8</v>
      </c>
      <c r="Q26" s="64"/>
      <c r="R26" s="64"/>
      <c r="S26" s="59" t="s">
        <v>296</v>
      </c>
      <c r="U26" s="53"/>
      <c r="V26" s="53"/>
      <c r="W26" s="53"/>
      <c r="X26" s="53"/>
      <c r="Y26" s="53"/>
      <c r="Z26" s="53"/>
      <c r="AA26" s="53"/>
      <c r="AB26" s="53"/>
      <c r="AC26" s="53"/>
      <c r="AD26" s="53"/>
      <c r="AE26" s="53"/>
      <c r="AF26" s="53"/>
      <c r="AG26" s="53"/>
    </row>
    <row r="27" spans="2:33" ht="15" customHeight="1" x14ac:dyDescent="0.25">
      <c r="B27" s="135" t="str">
        <f>HYPERLINK("https://www.pbo.gov.au/elections/2025-general-election/2025-election-commitments-costings/instant-asset-write-increase-cap-30000-and-make-permanent", "ECR-2025-2329")</f>
        <v>ECR-2025-2329</v>
      </c>
      <c r="C27" s="59" t="s">
        <v>148</v>
      </c>
      <c r="D27" s="60">
        <v>0</v>
      </c>
      <c r="E27" s="60">
        <v>-100</v>
      </c>
      <c r="F27" s="60">
        <v>-879</v>
      </c>
      <c r="G27" s="60">
        <v>-927</v>
      </c>
      <c r="H27" s="60">
        <v>-462</v>
      </c>
      <c r="I27" s="60">
        <v>-324</v>
      </c>
      <c r="J27" s="60">
        <v>-279</v>
      </c>
      <c r="K27" s="60">
        <v>-250</v>
      </c>
      <c r="L27" s="60">
        <v>-233</v>
      </c>
      <c r="M27" s="60">
        <v>-223</v>
      </c>
      <c r="N27" s="60">
        <v>-219</v>
      </c>
      <c r="O27" s="60">
        <v>-1906</v>
      </c>
      <c r="P27" s="60">
        <v>-3896</v>
      </c>
      <c r="Q27" s="64"/>
      <c r="R27" s="64"/>
      <c r="S27" s="59" t="s">
        <v>291</v>
      </c>
      <c r="U27" s="53"/>
      <c r="V27" s="53"/>
      <c r="W27" s="53"/>
      <c r="X27" s="53"/>
      <c r="Y27" s="53"/>
      <c r="Z27" s="53"/>
      <c r="AA27" s="53"/>
      <c r="AB27" s="53"/>
      <c r="AC27" s="53"/>
      <c r="AD27" s="53"/>
      <c r="AE27" s="53"/>
      <c r="AF27" s="53"/>
      <c r="AG27" s="53"/>
    </row>
    <row r="28" spans="2:33" ht="15" customHeight="1" x14ac:dyDescent="0.25">
      <c r="B28" s="135" t="str">
        <f>HYPERLINK("https://www.pbo.gov.au/elections/2025-general-election/2025-election-commitments-costings/International%20Climate%20Step%20Up%20%E2%80%93%20redirect", "ECR-2025-2150")</f>
        <v>ECR-2025-2150</v>
      </c>
      <c r="C28" s="59" t="s">
        <v>359</v>
      </c>
      <c r="D28" s="60">
        <v>12.2</v>
      </c>
      <c r="E28" s="60">
        <v>8.1</v>
      </c>
      <c r="F28" s="60">
        <v>7.6</v>
      </c>
      <c r="G28" s="60">
        <v>0</v>
      </c>
      <c r="H28" s="60">
        <v>0</v>
      </c>
      <c r="I28" s="60">
        <v>0</v>
      </c>
      <c r="J28" s="60">
        <v>0</v>
      </c>
      <c r="K28" s="60">
        <v>0</v>
      </c>
      <c r="L28" s="60">
        <v>0</v>
      </c>
      <c r="M28" s="60">
        <v>0</v>
      </c>
      <c r="N28" s="60">
        <v>0</v>
      </c>
      <c r="O28" s="60">
        <v>27.9</v>
      </c>
      <c r="P28" s="60">
        <v>27.9</v>
      </c>
      <c r="Q28" s="64"/>
      <c r="R28" s="64"/>
      <c r="S28" s="59" t="s">
        <v>261</v>
      </c>
      <c r="U28" s="53"/>
      <c r="V28" s="53"/>
      <c r="W28" s="53"/>
      <c r="X28" s="53"/>
      <c r="Y28" s="53"/>
      <c r="Z28" s="53"/>
      <c r="AA28" s="53"/>
      <c r="AB28" s="53"/>
      <c r="AC28" s="53"/>
      <c r="AD28" s="53"/>
      <c r="AE28" s="53"/>
      <c r="AF28" s="53"/>
      <c r="AG28" s="53"/>
    </row>
    <row r="29" spans="2:33" ht="15" customHeight="1" x14ac:dyDescent="0.25">
      <c r="B29" s="135" t="str">
        <f>HYPERLINK("https://www.pbo.gov.au/elections/2025-general-election/2025-election-commitments-costings/junior-minerals-exploration-incentive", "ECR-2025-2406")</f>
        <v>ECR-2025-2406</v>
      </c>
      <c r="C29" s="59" t="s">
        <v>360</v>
      </c>
      <c r="D29" s="60">
        <v>0</v>
      </c>
      <c r="E29" s="60">
        <v>-3.1</v>
      </c>
      <c r="F29" s="60">
        <v>-4.2</v>
      </c>
      <c r="G29" s="60">
        <v>-4.2</v>
      </c>
      <c r="H29" s="60">
        <v>-4.2</v>
      </c>
      <c r="I29" s="60">
        <v>-1.1000000000000001</v>
      </c>
      <c r="J29" s="60">
        <v>0</v>
      </c>
      <c r="K29" s="60">
        <v>0</v>
      </c>
      <c r="L29" s="60">
        <v>0</v>
      </c>
      <c r="M29" s="60">
        <v>0</v>
      </c>
      <c r="N29" s="60">
        <v>0</v>
      </c>
      <c r="O29" s="60">
        <v>-11.5</v>
      </c>
      <c r="P29" s="60">
        <v>-16.8</v>
      </c>
      <c r="Q29" s="64"/>
      <c r="R29" s="64"/>
      <c r="S29" s="59" t="s">
        <v>297</v>
      </c>
      <c r="U29" s="53"/>
      <c r="V29" s="53"/>
      <c r="W29" s="53"/>
      <c r="X29" s="53"/>
      <c r="Y29" s="53"/>
      <c r="Z29" s="53"/>
      <c r="AA29" s="53"/>
      <c r="AB29" s="53"/>
      <c r="AC29" s="53"/>
      <c r="AD29" s="53"/>
      <c r="AE29" s="53"/>
      <c r="AF29" s="53"/>
      <c r="AG29" s="53"/>
    </row>
    <row r="30" spans="2:33" ht="15" customHeight="1" x14ac:dyDescent="0.25">
      <c r="B30" s="135" t="str">
        <f>HYPERLINK("https://www.pbo.gov.au/elections/2025-general-election/2025-election-commitments-costings/landmass-and-territorial-water-lock-reverse", "ECR-2025-2808")</f>
        <v>ECR-2025-2808</v>
      </c>
      <c r="C30" s="59" t="s">
        <v>217</v>
      </c>
      <c r="D30" s="60">
        <v>51.4</v>
      </c>
      <c r="E30" s="60">
        <v>52</v>
      </c>
      <c r="F30" s="60">
        <v>50.8</v>
      </c>
      <c r="G30" s="60">
        <v>57.7</v>
      </c>
      <c r="H30" s="60">
        <v>50</v>
      </c>
      <c r="I30" s="60">
        <v>0</v>
      </c>
      <c r="J30" s="60">
        <v>0</v>
      </c>
      <c r="K30" s="60">
        <v>0</v>
      </c>
      <c r="L30" s="60">
        <v>0</v>
      </c>
      <c r="M30" s="60">
        <v>0</v>
      </c>
      <c r="N30" s="60">
        <v>0</v>
      </c>
      <c r="O30" s="60">
        <v>211.9</v>
      </c>
      <c r="P30" s="60">
        <v>261.89999999999998</v>
      </c>
      <c r="Q30" s="64"/>
      <c r="R30" s="64"/>
      <c r="S30" s="59" t="s">
        <v>261</v>
      </c>
      <c r="U30" s="53"/>
      <c r="V30" s="53"/>
      <c r="W30" s="53"/>
      <c r="X30" s="53"/>
      <c r="Y30" s="53"/>
      <c r="Z30" s="53"/>
      <c r="AA30" s="53"/>
      <c r="AB30" s="53"/>
      <c r="AC30" s="53"/>
      <c r="AD30" s="53"/>
      <c r="AE30" s="53"/>
      <c r="AF30" s="53"/>
      <c r="AG30" s="53"/>
    </row>
    <row r="31" spans="2:33" ht="15" customHeight="1" x14ac:dyDescent="0.25">
      <c r="B31" s="135" t="str">
        <f>HYPERLINK("https://www.pbo.gov.au/elections/2025-general-election/2025-election-commitments-costings/meat-poultry-contractual-fairness", "ECR-2025-2191")</f>
        <v>ECR-2025-2191</v>
      </c>
      <c r="C31" s="59" t="s">
        <v>417</v>
      </c>
      <c r="D31" s="60">
        <v>-0.5</v>
      </c>
      <c r="E31" s="60">
        <v>-0.5</v>
      </c>
      <c r="F31" s="60">
        <v>-0.5</v>
      </c>
      <c r="G31" s="60">
        <v>-0.5</v>
      </c>
      <c r="H31" s="60">
        <v>-0.5</v>
      </c>
      <c r="I31" s="60">
        <v>-0.5</v>
      </c>
      <c r="J31" s="60">
        <v>-0.5</v>
      </c>
      <c r="K31" s="60">
        <v>-0.5</v>
      </c>
      <c r="L31" s="60">
        <v>-0.5</v>
      </c>
      <c r="M31" s="60">
        <v>-0.5</v>
      </c>
      <c r="N31" s="60">
        <v>-0.5</v>
      </c>
      <c r="O31" s="60">
        <v>-2</v>
      </c>
      <c r="P31" s="60">
        <v>-5.5</v>
      </c>
      <c r="Q31" s="64"/>
      <c r="R31" s="64"/>
      <c r="S31" s="59" t="s">
        <v>298</v>
      </c>
      <c r="U31" s="53"/>
      <c r="V31" s="53"/>
      <c r="W31" s="53"/>
      <c r="X31" s="53"/>
      <c r="Y31" s="53"/>
      <c r="Z31" s="53"/>
      <c r="AA31" s="53"/>
      <c r="AB31" s="53"/>
      <c r="AC31" s="53"/>
      <c r="AD31" s="53"/>
      <c r="AE31" s="53"/>
      <c r="AF31" s="53"/>
      <c r="AG31" s="53"/>
    </row>
    <row r="32" spans="2:33" ht="15" customHeight="1" x14ac:dyDescent="0.25">
      <c r="B32" s="135" t="str">
        <f>HYPERLINK("https://www.pbo.gov.au/elections/2025-general-election/2025-election-commitments-costings/National%20Food%20Security%20Strategy", "ECR-2025-2566")</f>
        <v>ECR-2025-2566</v>
      </c>
      <c r="C32" s="59" t="s">
        <v>230</v>
      </c>
      <c r="D32" s="60">
        <v>1.8</v>
      </c>
      <c r="E32" s="60">
        <v>1.7</v>
      </c>
      <c r="F32" s="60">
        <v>0</v>
      </c>
      <c r="G32" s="60">
        <v>0</v>
      </c>
      <c r="H32" s="60">
        <v>0</v>
      </c>
      <c r="I32" s="60">
        <v>0</v>
      </c>
      <c r="J32" s="60">
        <v>0</v>
      </c>
      <c r="K32" s="60">
        <v>0</v>
      </c>
      <c r="L32" s="60">
        <v>0</v>
      </c>
      <c r="M32" s="60">
        <v>0</v>
      </c>
      <c r="N32" s="60">
        <v>0</v>
      </c>
      <c r="O32" s="60">
        <v>3.5</v>
      </c>
      <c r="P32" s="60">
        <v>3.5</v>
      </c>
      <c r="Q32" s="64"/>
      <c r="R32" s="64"/>
      <c r="S32" s="59" t="s">
        <v>299</v>
      </c>
      <c r="U32" s="53"/>
      <c r="V32" s="53"/>
      <c r="W32" s="53"/>
      <c r="X32" s="53"/>
      <c r="Y32" s="53"/>
      <c r="Z32" s="53"/>
      <c r="AA32" s="53"/>
      <c r="AB32" s="53"/>
      <c r="AC32" s="53"/>
      <c r="AD32" s="53"/>
      <c r="AE32" s="53"/>
      <c r="AF32" s="53"/>
      <c r="AG32" s="53"/>
    </row>
    <row r="33" spans="2:33" ht="15" customHeight="1" x14ac:dyDescent="0.25">
      <c r="B33" s="135" t="str">
        <f>HYPERLINK("https://www.pbo.gov.au/elections/2025-general-election/2025-election-commitments-costings/national-organic-standard", "ECR-2025-2006")</f>
        <v>ECR-2025-2006</v>
      </c>
      <c r="C33" s="59" t="s">
        <v>159</v>
      </c>
      <c r="D33" s="60">
        <v>-0.4</v>
      </c>
      <c r="E33" s="60">
        <v>-0.4</v>
      </c>
      <c r="F33" s="60">
        <v>-0.4</v>
      </c>
      <c r="G33" s="60">
        <v>-0.4</v>
      </c>
      <c r="H33" s="60">
        <v>-0.4</v>
      </c>
      <c r="I33" s="60">
        <v>-0.4</v>
      </c>
      <c r="J33" s="60">
        <v>-0.4</v>
      </c>
      <c r="K33" s="60">
        <v>-0.4</v>
      </c>
      <c r="L33" s="60">
        <v>-0.4</v>
      </c>
      <c r="M33" s="60">
        <v>-0.4</v>
      </c>
      <c r="N33" s="60">
        <v>-0.4</v>
      </c>
      <c r="O33" s="60">
        <v>-1.6</v>
      </c>
      <c r="P33" s="60">
        <v>-4.4000000000000004</v>
      </c>
      <c r="Q33" s="64"/>
      <c r="R33" s="64"/>
      <c r="S33" s="59" t="s">
        <v>298</v>
      </c>
      <c r="U33" s="53"/>
      <c r="V33" s="53"/>
      <c r="W33" s="53"/>
      <c r="X33" s="53"/>
      <c r="Y33" s="53"/>
      <c r="Z33" s="53"/>
      <c r="AA33" s="53"/>
      <c r="AB33" s="53"/>
      <c r="AC33" s="53"/>
      <c r="AD33" s="53"/>
      <c r="AE33" s="53"/>
      <c r="AF33" s="53"/>
      <c r="AG33" s="53"/>
    </row>
    <row r="34" spans="2:33" ht="15" customHeight="1" x14ac:dyDescent="0.25">
      <c r="B34" s="135" t="str">
        <f>HYPERLINK("https://www.pbo.gov.au/elections/2025-general-election/2025-election-commitments-costings/national-reconstruction-fund-and-national-reconstruction-fund-corporation-unwind-and-close", "ECR-2025-2247")</f>
        <v>ECR-2025-2247</v>
      </c>
      <c r="C34" s="59" t="s">
        <v>247</v>
      </c>
      <c r="D34" s="60">
        <v>63.1</v>
      </c>
      <c r="E34" s="60">
        <v>110.5</v>
      </c>
      <c r="F34" s="60">
        <v>168.3</v>
      </c>
      <c r="G34" s="60">
        <v>267.2</v>
      </c>
      <c r="H34" s="60">
        <v>-7.5</v>
      </c>
      <c r="I34" s="60">
        <v>60.8</v>
      </c>
      <c r="J34" s="60">
        <v>65.099999999999994</v>
      </c>
      <c r="K34" s="60">
        <v>70.5</v>
      </c>
      <c r="L34" s="60">
        <v>75.900000000000006</v>
      </c>
      <c r="M34" s="60">
        <v>82.4</v>
      </c>
      <c r="N34" s="60">
        <v>89.9</v>
      </c>
      <c r="O34" s="60">
        <v>609.1</v>
      </c>
      <c r="P34" s="60">
        <v>1046.2</v>
      </c>
      <c r="Q34" s="64"/>
      <c r="R34" s="64"/>
      <c r="S34" s="59" t="s">
        <v>261</v>
      </c>
      <c r="U34" s="53"/>
      <c r="V34" s="53"/>
      <c r="W34" s="53"/>
      <c r="X34" s="53"/>
      <c r="Y34" s="53"/>
      <c r="Z34" s="53"/>
      <c r="AA34" s="53"/>
      <c r="AB34" s="53"/>
      <c r="AC34" s="53"/>
      <c r="AD34" s="53"/>
      <c r="AE34" s="53"/>
      <c r="AF34" s="53"/>
      <c r="AG34" s="53"/>
    </row>
    <row r="35" spans="2:33" ht="15" customHeight="1" x14ac:dyDescent="0.25">
      <c r="B35" s="135" t="str">
        <f>HYPERLINK("https://www.pbo.gov.au/elections/2025-general-election/2025-election-commitments-costings/nature-positive-plan-and-environmental-protection-australia-reversal", "ECR-2025-2043")</f>
        <v>ECR-2025-2043</v>
      </c>
      <c r="C35" s="59" t="s">
        <v>160</v>
      </c>
      <c r="D35" s="60">
        <v>33.5</v>
      </c>
      <c r="E35" s="60">
        <v>22.2</v>
      </c>
      <c r="F35" s="60">
        <v>4.5</v>
      </c>
      <c r="G35" s="60">
        <v>4.5</v>
      </c>
      <c r="H35" s="60">
        <v>4.5</v>
      </c>
      <c r="I35" s="60">
        <v>4.5</v>
      </c>
      <c r="J35" s="60">
        <v>4.5</v>
      </c>
      <c r="K35" s="60">
        <v>4.5</v>
      </c>
      <c r="L35" s="60">
        <v>4.5</v>
      </c>
      <c r="M35" s="60">
        <v>4.5</v>
      </c>
      <c r="N35" s="60">
        <v>4.5</v>
      </c>
      <c r="O35" s="60">
        <v>64.7</v>
      </c>
      <c r="P35" s="60">
        <v>96.2</v>
      </c>
      <c r="Q35" s="64"/>
      <c r="R35" s="64"/>
      <c r="S35" s="59" t="s">
        <v>261</v>
      </c>
      <c r="U35" s="53"/>
      <c r="V35" s="53"/>
      <c r="W35" s="53"/>
      <c r="X35" s="53"/>
      <c r="Y35" s="53"/>
      <c r="Z35" s="53"/>
      <c r="AA35" s="53"/>
      <c r="AB35" s="53"/>
      <c r="AC35" s="53"/>
      <c r="AD35" s="53"/>
      <c r="AE35" s="53"/>
      <c r="AF35" s="53"/>
      <c r="AG35" s="53"/>
    </row>
    <row r="36" spans="2:33" ht="15" customHeight="1" x14ac:dyDescent="0.25">
      <c r="B36" s="135" t="str">
        <f>HYPERLINK("https://www.pbo.gov.au/elections/2025-general-election/2025-election-commitments-costings/net-zero-economy-agency-and-related-measures-unwind", "ECR-2025-2039")</f>
        <v>ECR-2025-2039</v>
      </c>
      <c r="C36" s="59" t="s">
        <v>202</v>
      </c>
      <c r="D36" s="60">
        <v>127.9</v>
      </c>
      <c r="E36" s="60">
        <v>114.8</v>
      </c>
      <c r="F36" s="60">
        <v>95.9</v>
      </c>
      <c r="G36" s="60">
        <v>89.4</v>
      </c>
      <c r="H36" s="60">
        <v>89.4</v>
      </c>
      <c r="I36" s="60">
        <v>89.4</v>
      </c>
      <c r="J36" s="60">
        <v>89.4</v>
      </c>
      <c r="K36" s="60">
        <v>89.4</v>
      </c>
      <c r="L36" s="60">
        <v>89.4</v>
      </c>
      <c r="M36" s="60">
        <v>88.1</v>
      </c>
      <c r="N36" s="60">
        <v>93.4</v>
      </c>
      <c r="O36" s="60">
        <v>428</v>
      </c>
      <c r="P36" s="60">
        <v>1056.5</v>
      </c>
      <c r="Q36" s="64"/>
      <c r="R36" s="64"/>
      <c r="S36" s="59" t="s">
        <v>261</v>
      </c>
      <c r="U36" s="53"/>
      <c r="V36" s="53"/>
      <c r="W36" s="53"/>
      <c r="X36" s="53"/>
      <c r="Y36" s="53"/>
      <c r="Z36" s="53"/>
      <c r="AA36" s="53"/>
      <c r="AB36" s="53"/>
      <c r="AC36" s="53"/>
      <c r="AD36" s="53"/>
      <c r="AE36" s="53"/>
      <c r="AF36" s="53"/>
      <c r="AG36" s="53"/>
    </row>
    <row r="37" spans="2:33" ht="15" customHeight="1" x14ac:dyDescent="0.25">
      <c r="B37" s="135" t="str">
        <f>HYPERLINK("https://www.pbo.gov.au/elections/2025-general-election/2025-election-commitments-costings/New%20agricultural%20visa", "ECR-2025-2004")</f>
        <v>ECR-2025-2004</v>
      </c>
      <c r="C37" s="59" t="s">
        <v>231</v>
      </c>
      <c r="D37" s="60">
        <v>-4.4000000000000004</v>
      </c>
      <c r="E37" s="60">
        <v>40.200000000000003</v>
      </c>
      <c r="F37" s="60">
        <v>42</v>
      </c>
      <c r="G37" s="60">
        <v>43.9</v>
      </c>
      <c r="H37" s="60">
        <v>45.8</v>
      </c>
      <c r="I37" s="60">
        <v>47.7</v>
      </c>
      <c r="J37" s="60">
        <v>49.6</v>
      </c>
      <c r="K37" s="60">
        <v>51.8</v>
      </c>
      <c r="L37" s="60">
        <v>53.9</v>
      </c>
      <c r="M37" s="60">
        <v>56.1</v>
      </c>
      <c r="N37" s="60">
        <v>58.5</v>
      </c>
      <c r="O37" s="60">
        <v>121.7</v>
      </c>
      <c r="P37" s="60">
        <v>485.1</v>
      </c>
      <c r="Q37" s="64"/>
      <c r="R37" s="64"/>
      <c r="S37" s="59" t="s">
        <v>300</v>
      </c>
      <c r="U37" s="53"/>
      <c r="V37" s="53"/>
      <c r="W37" s="53"/>
      <c r="X37" s="53"/>
      <c r="Y37" s="53"/>
      <c r="Z37" s="53"/>
      <c r="AA37" s="53"/>
      <c r="AB37" s="53"/>
      <c r="AC37" s="53"/>
      <c r="AD37" s="53"/>
      <c r="AE37" s="53"/>
      <c r="AF37" s="53"/>
      <c r="AG37" s="53"/>
    </row>
    <row r="38" spans="2:33" ht="15" customHeight="1" x14ac:dyDescent="0.25">
      <c r="B38" s="135" t="str">
        <f>HYPERLINK("https://www.pbo.gov.au/elections/2025-general-election/2025-election-commitments-costings/northam-re-use-water-scheme-western-australia-support", "ECR-2025-2655")</f>
        <v>ECR-2025-2655</v>
      </c>
      <c r="C38" s="59" t="s">
        <v>143</v>
      </c>
      <c r="D38" s="60">
        <v>-2</v>
      </c>
      <c r="E38" s="60">
        <v>-2</v>
      </c>
      <c r="F38" s="60">
        <v>-3</v>
      </c>
      <c r="G38" s="60">
        <v>-3</v>
      </c>
      <c r="H38" s="60">
        <v>0</v>
      </c>
      <c r="I38" s="60">
        <v>0</v>
      </c>
      <c r="J38" s="60">
        <v>0</v>
      </c>
      <c r="K38" s="60">
        <v>0</v>
      </c>
      <c r="L38" s="60">
        <v>0</v>
      </c>
      <c r="M38" s="60">
        <v>0</v>
      </c>
      <c r="N38" s="60">
        <v>0</v>
      </c>
      <c r="O38" s="60">
        <v>-10</v>
      </c>
      <c r="P38" s="60">
        <v>-10</v>
      </c>
      <c r="Q38" s="64"/>
      <c r="R38" s="64"/>
      <c r="S38" s="59" t="s">
        <v>301</v>
      </c>
      <c r="U38" s="53"/>
      <c r="V38" s="53"/>
      <c r="W38" s="53"/>
      <c r="X38" s="53"/>
      <c r="Y38" s="53"/>
      <c r="Z38" s="53"/>
      <c r="AA38" s="53"/>
      <c r="AB38" s="53"/>
      <c r="AC38" s="53"/>
      <c r="AD38" s="53"/>
      <c r="AE38" s="53"/>
      <c r="AF38" s="53"/>
      <c r="AG38" s="53"/>
    </row>
    <row r="39" spans="2:33" ht="15" customHeight="1" x14ac:dyDescent="0.25">
      <c r="B39" s="135" t="str">
        <f>HYPERLINK("https://www.pbo.gov.au/elections/2025-general-election/2025-election-commitments-costings/Passenger%20Movement%20Charge%20%E2%80%93%20indexation", "ECR-2025-2007")</f>
        <v>ECR-2025-2007</v>
      </c>
      <c r="C39" s="59" t="s">
        <v>193</v>
      </c>
      <c r="D39" s="60">
        <v>39</v>
      </c>
      <c r="E39" s="60">
        <v>76</v>
      </c>
      <c r="F39" s="60">
        <v>110</v>
      </c>
      <c r="G39" s="60">
        <v>151</v>
      </c>
      <c r="H39" s="60">
        <v>196</v>
      </c>
      <c r="I39" s="60">
        <v>245</v>
      </c>
      <c r="J39" s="60">
        <v>298</v>
      </c>
      <c r="K39" s="60">
        <v>355</v>
      </c>
      <c r="L39" s="60">
        <v>417</v>
      </c>
      <c r="M39" s="60">
        <v>484</v>
      </c>
      <c r="N39" s="60">
        <v>555</v>
      </c>
      <c r="O39" s="60">
        <v>376</v>
      </c>
      <c r="P39" s="60">
        <v>2926</v>
      </c>
      <c r="Q39" s="64"/>
      <c r="R39" s="64"/>
      <c r="S39" s="59" t="s">
        <v>261</v>
      </c>
      <c r="U39" s="53"/>
      <c r="V39" s="53"/>
      <c r="W39" s="53"/>
      <c r="X39" s="53"/>
      <c r="Y39" s="53"/>
      <c r="Z39" s="53"/>
      <c r="AA39" s="53"/>
      <c r="AB39" s="53"/>
      <c r="AC39" s="53"/>
      <c r="AD39" s="53"/>
      <c r="AE39" s="53"/>
      <c r="AF39" s="53"/>
      <c r="AG39" s="53"/>
    </row>
    <row r="40" spans="2:33" ht="15" customHeight="1" x14ac:dyDescent="0.25">
      <c r="B40" s="135" t="str">
        <f>HYPERLINK("https://www.pbo.gov.au/elections/2025-general-election/2025-election-commitments-costings/personal-income-tax-amendments", "ECR-2025-2525")</f>
        <v>ECR-2025-2525</v>
      </c>
      <c r="C40" s="59" t="s">
        <v>149</v>
      </c>
      <c r="D40" s="60">
        <v>0</v>
      </c>
      <c r="E40" s="60">
        <v>3000</v>
      </c>
      <c r="F40" s="60">
        <v>6700</v>
      </c>
      <c r="G40" s="60">
        <v>7400</v>
      </c>
      <c r="H40" s="60">
        <v>7700</v>
      </c>
      <c r="I40" s="60">
        <v>7900</v>
      </c>
      <c r="J40" s="60">
        <v>8000</v>
      </c>
      <c r="K40" s="60">
        <v>8200</v>
      </c>
      <c r="L40" s="60">
        <v>8400</v>
      </c>
      <c r="M40" s="60">
        <v>8600</v>
      </c>
      <c r="N40" s="60">
        <v>8700</v>
      </c>
      <c r="O40" s="60">
        <v>17100</v>
      </c>
      <c r="P40" s="60">
        <v>74600</v>
      </c>
      <c r="Q40" s="64"/>
      <c r="R40" s="64"/>
      <c r="S40" s="59" t="s">
        <v>261</v>
      </c>
      <c r="U40" s="53"/>
      <c r="V40" s="53"/>
      <c r="W40" s="53"/>
      <c r="X40" s="53"/>
      <c r="Y40" s="53"/>
      <c r="Z40" s="53"/>
      <c r="AA40" s="53"/>
      <c r="AB40" s="53"/>
      <c r="AC40" s="53"/>
      <c r="AD40" s="53"/>
      <c r="AE40" s="53"/>
      <c r="AF40" s="53"/>
      <c r="AG40" s="53"/>
    </row>
    <row r="41" spans="2:33" ht="15" customHeight="1" x14ac:dyDescent="0.25">
      <c r="B41" s="135" t="str">
        <f>HYPERLINK("https://www.pbo.gov.au/elections/2025-general-election/2025-election-commitments-costings/Prioritise%20agricultural%20programs%20%E2%80%93%20Renewed%20Australian%20Animal%20Welfare%20Strategy", "ECR-2025-2594")</f>
        <v>ECR-2025-2594</v>
      </c>
      <c r="C41" s="59" t="s">
        <v>418</v>
      </c>
      <c r="D41" s="60">
        <v>1.3</v>
      </c>
      <c r="E41" s="60">
        <v>1.3</v>
      </c>
      <c r="F41" s="60">
        <v>0</v>
      </c>
      <c r="G41" s="60">
        <v>0</v>
      </c>
      <c r="H41" s="60">
        <v>0</v>
      </c>
      <c r="I41" s="60">
        <v>0</v>
      </c>
      <c r="J41" s="60">
        <v>0</v>
      </c>
      <c r="K41" s="60">
        <v>0</v>
      </c>
      <c r="L41" s="60">
        <v>0</v>
      </c>
      <c r="M41" s="60">
        <v>0</v>
      </c>
      <c r="N41" s="60">
        <v>0</v>
      </c>
      <c r="O41" s="60">
        <v>2.6</v>
      </c>
      <c r="P41" s="60">
        <v>2.6</v>
      </c>
      <c r="Q41" s="61"/>
      <c r="R41" s="61"/>
      <c r="S41" s="59" t="s">
        <v>261</v>
      </c>
      <c r="U41" s="53"/>
      <c r="V41" s="53"/>
      <c r="W41" s="53"/>
      <c r="X41" s="53"/>
      <c r="Y41" s="53"/>
      <c r="Z41" s="53"/>
      <c r="AA41" s="53"/>
      <c r="AB41" s="53"/>
      <c r="AC41" s="53"/>
      <c r="AD41" s="53"/>
      <c r="AE41" s="53"/>
      <c r="AF41" s="53"/>
      <c r="AG41" s="53"/>
    </row>
    <row r="42" spans="2:33" ht="15" customHeight="1" x14ac:dyDescent="0.25">
      <c r="B42" s="135" t="str">
        <f>HYPERLINK("https://www.pbo.gov.au/elections/2025-general-election/2025-election-commitments-costings/productivity-fund-payments-redirection", "ECR-2025-2516")</f>
        <v>ECR-2025-2516</v>
      </c>
      <c r="C42" s="59" t="s">
        <v>157</v>
      </c>
      <c r="D42" s="60">
        <v>81.900000000000006</v>
      </c>
      <c r="E42" s="60">
        <v>81.900000000000006</v>
      </c>
      <c r="F42" s="60">
        <v>81.8</v>
      </c>
      <c r="G42" s="60">
        <v>81.8</v>
      </c>
      <c r="H42" s="60">
        <v>81.8</v>
      </c>
      <c r="I42" s="60">
        <v>81.8</v>
      </c>
      <c r="J42" s="60">
        <v>81.8</v>
      </c>
      <c r="K42" s="60">
        <v>81.8</v>
      </c>
      <c r="L42" s="60">
        <v>81.8</v>
      </c>
      <c r="M42" s="60">
        <v>81.8</v>
      </c>
      <c r="N42" s="60">
        <v>81.8</v>
      </c>
      <c r="O42" s="60">
        <v>327.39999999999998</v>
      </c>
      <c r="P42" s="60">
        <v>900</v>
      </c>
      <c r="Q42" s="61"/>
      <c r="R42" s="61"/>
      <c r="S42" s="59" t="s">
        <v>261</v>
      </c>
      <c r="U42" s="53"/>
      <c r="V42" s="53"/>
      <c r="W42" s="53"/>
      <c r="X42" s="53"/>
      <c r="Y42" s="53"/>
      <c r="Z42" s="53"/>
      <c r="AA42" s="53"/>
      <c r="AB42" s="53"/>
      <c r="AC42" s="53"/>
      <c r="AD42" s="53"/>
      <c r="AE42" s="53"/>
      <c r="AF42" s="53"/>
      <c r="AG42" s="53"/>
    </row>
    <row r="43" spans="2:33" ht="15" customHeight="1" x14ac:dyDescent="0.25">
      <c r="B43" s="59" t="s">
        <v>116</v>
      </c>
      <c r="C43" s="59" t="s">
        <v>393</v>
      </c>
      <c r="D43" s="60">
        <v>0</v>
      </c>
      <c r="E43" s="60">
        <v>0</v>
      </c>
      <c r="F43" s="60">
        <v>0</v>
      </c>
      <c r="G43" s="60">
        <v>0</v>
      </c>
      <c r="H43" s="60">
        <v>0</v>
      </c>
      <c r="I43" s="60">
        <v>0</v>
      </c>
      <c r="J43" s="60">
        <v>0</v>
      </c>
      <c r="K43" s="60">
        <v>0</v>
      </c>
      <c r="L43" s="60">
        <v>0</v>
      </c>
      <c r="M43" s="60">
        <v>0</v>
      </c>
      <c r="N43" s="60">
        <v>0</v>
      </c>
      <c r="O43" s="60">
        <v>0</v>
      </c>
      <c r="P43" s="60">
        <v>0</v>
      </c>
      <c r="Q43" s="61"/>
      <c r="R43" s="61"/>
      <c r="S43" s="59" t="s">
        <v>302</v>
      </c>
      <c r="U43" s="53"/>
      <c r="V43" s="53"/>
      <c r="W43" s="53"/>
      <c r="X43" s="53"/>
      <c r="Y43" s="53"/>
      <c r="Z43" s="53"/>
      <c r="AA43" s="53"/>
      <c r="AB43" s="53"/>
      <c r="AC43" s="53"/>
      <c r="AD43" s="53"/>
      <c r="AE43" s="53"/>
      <c r="AF43" s="53"/>
      <c r="AG43" s="53"/>
    </row>
    <row r="44" spans="2:33" ht="15" customHeight="1" x14ac:dyDescent="0.25">
      <c r="B44" s="135" t="str">
        <f>HYPERLINK("https://www.pbo.gov.au/elections/2025-general-election/2025-election-commitments-costings/Red%20imported%20fire%20ant%20national%20response%20%E2%80%93%20independent%20review", "ECR-2025-2113")</f>
        <v>ECR-2025-2113</v>
      </c>
      <c r="C44" s="59" t="s">
        <v>419</v>
      </c>
      <c r="D44" s="60">
        <v>-3</v>
      </c>
      <c r="E44" s="60">
        <v>0</v>
      </c>
      <c r="F44" s="60">
        <v>0</v>
      </c>
      <c r="G44" s="60">
        <v>0</v>
      </c>
      <c r="H44" s="60">
        <v>0</v>
      </c>
      <c r="I44" s="60">
        <v>0</v>
      </c>
      <c r="J44" s="60">
        <v>0</v>
      </c>
      <c r="K44" s="60">
        <v>0</v>
      </c>
      <c r="L44" s="60">
        <v>0</v>
      </c>
      <c r="M44" s="60">
        <v>0</v>
      </c>
      <c r="N44" s="60">
        <v>0</v>
      </c>
      <c r="O44" s="60">
        <v>-3</v>
      </c>
      <c r="P44" s="60">
        <v>-3</v>
      </c>
      <c r="Q44" s="64"/>
      <c r="R44" s="64"/>
      <c r="S44" s="59" t="s">
        <v>298</v>
      </c>
      <c r="U44" s="53"/>
      <c r="V44" s="53"/>
      <c r="W44" s="53"/>
      <c r="X44" s="53"/>
      <c r="Y44" s="53"/>
      <c r="Z44" s="53"/>
      <c r="AA44" s="53"/>
      <c r="AB44" s="53"/>
      <c r="AC44" s="53"/>
      <c r="AD44" s="53"/>
      <c r="AE44" s="53"/>
      <c r="AF44" s="53"/>
      <c r="AG44" s="53"/>
    </row>
    <row r="45" spans="2:33" ht="15" customHeight="1" x14ac:dyDescent="0.25">
      <c r="B45" s="135" t="str">
        <f>HYPERLINK("https://www.pbo.gov.au/elections/2025-general-election/2025-election-commitments-costings/Reducing%20the%20APS%20to%20a%20sustainable%20level%20over%20time%20through%20natural%20attrition", "ECR-2025-2147")</f>
        <v>ECR-2025-2147</v>
      </c>
      <c r="C45" s="59" t="s">
        <v>370</v>
      </c>
      <c r="D45" s="60">
        <v>1006</v>
      </c>
      <c r="E45" s="60">
        <v>2331</v>
      </c>
      <c r="F45" s="60">
        <v>3708</v>
      </c>
      <c r="G45" s="60">
        <v>5106</v>
      </c>
      <c r="H45" s="60">
        <v>6590</v>
      </c>
      <c r="I45" s="60">
        <v>7215</v>
      </c>
      <c r="J45" s="60">
        <v>7334</v>
      </c>
      <c r="K45" s="60">
        <v>7439</v>
      </c>
      <c r="L45" s="60">
        <v>7551</v>
      </c>
      <c r="M45" s="60">
        <v>7650</v>
      </c>
      <c r="N45" s="60">
        <v>7766</v>
      </c>
      <c r="O45" s="60">
        <v>12151</v>
      </c>
      <c r="P45" s="60">
        <v>63696</v>
      </c>
      <c r="Q45" s="61"/>
      <c r="R45" s="61"/>
      <c r="S45" s="59" t="s">
        <v>372</v>
      </c>
      <c r="U45" s="53"/>
      <c r="V45" s="53"/>
      <c r="W45" s="53"/>
      <c r="X45" s="53"/>
      <c r="Y45" s="53"/>
      <c r="Z45" s="53"/>
      <c r="AA45" s="53"/>
      <c r="AB45" s="53"/>
      <c r="AC45" s="53"/>
      <c r="AD45" s="53"/>
      <c r="AE45" s="53"/>
      <c r="AF45" s="53"/>
      <c r="AG45" s="53"/>
    </row>
    <row r="46" spans="2:33" ht="15" customHeight="1" x14ac:dyDescent="0.25">
      <c r="B46" s="59" t="s">
        <v>115</v>
      </c>
      <c r="C46" s="59" t="s">
        <v>394</v>
      </c>
      <c r="D46" s="60">
        <v>0</v>
      </c>
      <c r="E46" s="60">
        <v>0</v>
      </c>
      <c r="F46" s="60">
        <v>0</v>
      </c>
      <c r="G46" s="60">
        <v>0</v>
      </c>
      <c r="H46" s="60">
        <v>0</v>
      </c>
      <c r="I46" s="60">
        <v>0</v>
      </c>
      <c r="J46" s="60">
        <v>0</v>
      </c>
      <c r="K46" s="60">
        <v>0</v>
      </c>
      <c r="L46" s="60">
        <v>0</v>
      </c>
      <c r="M46" s="60">
        <v>0</v>
      </c>
      <c r="N46" s="60">
        <v>0</v>
      </c>
      <c r="O46" s="60">
        <v>0</v>
      </c>
      <c r="P46" s="60">
        <v>0</v>
      </c>
      <c r="Q46" s="61"/>
      <c r="R46" s="61"/>
      <c r="S46" s="59" t="s">
        <v>303</v>
      </c>
      <c r="U46" s="53"/>
      <c r="V46" s="53"/>
      <c r="W46" s="53"/>
      <c r="X46" s="53"/>
      <c r="Y46" s="53"/>
      <c r="Z46" s="53"/>
      <c r="AA46" s="53"/>
      <c r="AB46" s="53"/>
      <c r="AC46" s="53"/>
      <c r="AD46" s="53"/>
      <c r="AE46" s="53"/>
      <c r="AF46" s="53"/>
      <c r="AG46" s="53"/>
    </row>
    <row r="47" spans="2:33" ht="15" customHeight="1" x14ac:dyDescent="0.25">
      <c r="B47" s="135" t="str">
        <f>HYPERLINK("https://www.pbo.gov.au/elections/2025-general-election/2025-election-commitments-costings/Regional%20tourism%20grants", "ECR-2025-2161")</f>
        <v>ECR-2025-2161</v>
      </c>
      <c r="C47" s="59" t="s">
        <v>420</v>
      </c>
      <c r="D47" s="60">
        <v>-6.5</v>
      </c>
      <c r="E47" s="60">
        <v>-2.4</v>
      </c>
      <c r="F47" s="60">
        <v>-2.1</v>
      </c>
      <c r="G47" s="60">
        <v>0</v>
      </c>
      <c r="H47" s="60">
        <v>0</v>
      </c>
      <c r="I47" s="60">
        <v>0</v>
      </c>
      <c r="J47" s="60">
        <v>0</v>
      </c>
      <c r="K47" s="60">
        <v>0</v>
      </c>
      <c r="L47" s="60">
        <v>0</v>
      </c>
      <c r="M47" s="60">
        <v>0</v>
      </c>
      <c r="N47" s="60">
        <v>0</v>
      </c>
      <c r="O47" s="60">
        <v>-11</v>
      </c>
      <c r="P47" s="60">
        <v>-11</v>
      </c>
      <c r="Q47" s="61"/>
      <c r="R47" s="61"/>
      <c r="S47" s="59" t="s">
        <v>261</v>
      </c>
      <c r="U47" s="53"/>
      <c r="V47" s="53"/>
      <c r="W47" s="53"/>
      <c r="X47" s="53"/>
      <c r="Y47" s="53"/>
      <c r="Z47" s="53"/>
      <c r="AA47" s="53"/>
      <c r="AB47" s="53"/>
      <c r="AC47" s="53"/>
      <c r="AD47" s="53"/>
      <c r="AE47" s="53"/>
      <c r="AF47" s="53"/>
      <c r="AG47" s="53"/>
    </row>
    <row r="48" spans="2:33" ht="15" customHeight="1" x14ac:dyDescent="0.25">
      <c r="B48" s="135" t="str">
        <f>HYPERLINK("https://www.pbo.gov.au/elections/2025-general-election/2025-election-commitments-costings/Regulation-and-taxation-vaping-products", "ECR-2025-2400")</f>
        <v>ECR-2025-2400</v>
      </c>
      <c r="C48" s="59" t="s">
        <v>228</v>
      </c>
      <c r="D48" s="60">
        <v>691.7</v>
      </c>
      <c r="E48" s="60">
        <v>907.4</v>
      </c>
      <c r="F48" s="60">
        <v>1058.5999999999999</v>
      </c>
      <c r="G48" s="60">
        <v>1218.5999999999999</v>
      </c>
      <c r="H48" s="60">
        <v>1388.6</v>
      </c>
      <c r="I48" s="60">
        <v>1578.6</v>
      </c>
      <c r="J48" s="60">
        <v>1788.6</v>
      </c>
      <c r="K48" s="60">
        <v>1998.5</v>
      </c>
      <c r="L48" s="60">
        <v>2238.5</v>
      </c>
      <c r="M48" s="60">
        <v>2478.5</v>
      </c>
      <c r="N48" s="60">
        <v>2748.5</v>
      </c>
      <c r="O48" s="60">
        <v>3876.3</v>
      </c>
      <c r="P48" s="60">
        <v>18096.099999999999</v>
      </c>
      <c r="Q48" s="61"/>
      <c r="R48" s="61"/>
      <c r="S48" s="59" t="s">
        <v>304</v>
      </c>
      <c r="U48" s="53"/>
      <c r="V48" s="53"/>
      <c r="W48" s="53"/>
      <c r="X48" s="53"/>
      <c r="Y48" s="53"/>
      <c r="Z48" s="53"/>
      <c r="AA48" s="53"/>
      <c r="AB48" s="53"/>
      <c r="AC48" s="53"/>
      <c r="AD48" s="53"/>
      <c r="AE48" s="53"/>
      <c r="AF48" s="53"/>
      <c r="AG48" s="53"/>
    </row>
    <row r="49" spans="2:33" ht="15" customHeight="1" x14ac:dyDescent="0.25">
      <c r="B49" s="135" t="str">
        <f>HYPERLINK("https://www.pbo.gov.au/elections/2025-general-election/2025-election-commitments-costings/reinstate-native-title-respondent-and-native-title-officer-schemes", "ECR-2025-2634")</f>
        <v>ECR-2025-2634</v>
      </c>
      <c r="C49" s="59" t="s">
        <v>147</v>
      </c>
      <c r="D49" s="60">
        <v>-2</v>
      </c>
      <c r="E49" s="60">
        <v>-2.1</v>
      </c>
      <c r="F49" s="60">
        <v>-2.1</v>
      </c>
      <c r="G49" s="60">
        <v>-2.1</v>
      </c>
      <c r="H49" s="60">
        <v>-2.2000000000000002</v>
      </c>
      <c r="I49" s="60">
        <v>-2.2000000000000002</v>
      </c>
      <c r="J49" s="60">
        <v>-2.2999999999999998</v>
      </c>
      <c r="K49" s="60">
        <v>-2.2999999999999998</v>
      </c>
      <c r="L49" s="60">
        <v>-2.4</v>
      </c>
      <c r="M49" s="60">
        <v>-2.4</v>
      </c>
      <c r="N49" s="60">
        <v>-2.5</v>
      </c>
      <c r="O49" s="60">
        <v>-8.3000000000000007</v>
      </c>
      <c r="P49" s="60">
        <v>-24.6</v>
      </c>
      <c r="Q49" s="61"/>
      <c r="R49" s="61"/>
      <c r="S49" s="59" t="s">
        <v>298</v>
      </c>
      <c r="U49" s="53"/>
      <c r="V49" s="53"/>
      <c r="W49" s="53"/>
      <c r="X49" s="53"/>
      <c r="Y49" s="53"/>
      <c r="Z49" s="53"/>
      <c r="AA49" s="53"/>
      <c r="AB49" s="53"/>
      <c r="AC49" s="53"/>
      <c r="AD49" s="53"/>
      <c r="AE49" s="53"/>
      <c r="AF49" s="53"/>
      <c r="AG49" s="53"/>
    </row>
    <row r="50" spans="2:33" ht="15" customHeight="1" x14ac:dyDescent="0.25">
      <c r="B50" s="135" t="str">
        <f>HYPERLINK("https://www.pbo.gov.au/elections/2025-general-election/2025-election-commitments-costings/repeal-ban-live-sheep-export-sea", "ECR-2025-2623")</f>
        <v>ECR-2025-2623</v>
      </c>
      <c r="C50" s="59" t="s">
        <v>421</v>
      </c>
      <c r="D50" s="60">
        <v>31</v>
      </c>
      <c r="E50" s="60">
        <v>29.3</v>
      </c>
      <c r="F50" s="60">
        <v>15.7</v>
      </c>
      <c r="G50" s="60">
        <v>1.7</v>
      </c>
      <c r="H50" s="60">
        <v>0</v>
      </c>
      <c r="I50" s="60">
        <v>0</v>
      </c>
      <c r="J50" s="60">
        <v>0</v>
      </c>
      <c r="K50" s="60">
        <v>0</v>
      </c>
      <c r="L50" s="60">
        <v>0</v>
      </c>
      <c r="M50" s="60">
        <v>0</v>
      </c>
      <c r="N50" s="60">
        <v>0</v>
      </c>
      <c r="O50" s="60">
        <v>77.7</v>
      </c>
      <c r="P50" s="60">
        <v>77.7</v>
      </c>
      <c r="Q50" s="61"/>
      <c r="R50" s="61"/>
      <c r="S50" s="59" t="s">
        <v>305</v>
      </c>
      <c r="U50" s="53"/>
      <c r="V50" s="53"/>
      <c r="W50" s="53"/>
      <c r="X50" s="53"/>
      <c r="Y50" s="53"/>
      <c r="Z50" s="53"/>
      <c r="AA50" s="53"/>
      <c r="AB50" s="53"/>
      <c r="AC50" s="53"/>
      <c r="AD50" s="53"/>
      <c r="AE50" s="53"/>
      <c r="AF50" s="53"/>
      <c r="AG50" s="53"/>
    </row>
    <row r="51" spans="2:33" ht="15" customHeight="1" x14ac:dyDescent="0.25">
      <c r="B51" s="135" t="str">
        <f>HYPERLINK("https://www.pbo.gov.au/elections/2025-general-election/2025-election-commitments-costings/re-phase-additional-australian-antarctic-program-funding", "ECR-2025-2667")</f>
        <v>ECR-2025-2667</v>
      </c>
      <c r="C51" s="59" t="s">
        <v>161</v>
      </c>
      <c r="D51" s="60">
        <v>3.6</v>
      </c>
      <c r="E51" s="60">
        <v>14.2</v>
      </c>
      <c r="F51" s="60">
        <v>12.2</v>
      </c>
      <c r="G51" s="60">
        <v>12.9</v>
      </c>
      <c r="H51" s="60">
        <v>8</v>
      </c>
      <c r="I51" s="60">
        <v>7.1</v>
      </c>
      <c r="J51" s="60">
        <v>7.4</v>
      </c>
      <c r="K51" s="60">
        <v>6.1</v>
      </c>
      <c r="L51" s="60">
        <v>-35.700000000000003</v>
      </c>
      <c r="M51" s="60">
        <v>-35.799999999999997</v>
      </c>
      <c r="N51" s="60">
        <v>0</v>
      </c>
      <c r="O51" s="60">
        <v>42.9</v>
      </c>
      <c r="P51" s="60">
        <v>0</v>
      </c>
      <c r="Q51" s="61"/>
      <c r="R51" s="61"/>
      <c r="S51" s="59" t="s">
        <v>261</v>
      </c>
      <c r="U51" s="53"/>
      <c r="V51" s="53"/>
      <c r="W51" s="53"/>
      <c r="X51" s="53"/>
      <c r="Y51" s="53"/>
      <c r="Z51" s="53"/>
      <c r="AA51" s="53"/>
      <c r="AB51" s="53"/>
      <c r="AC51" s="53"/>
      <c r="AD51" s="53"/>
      <c r="AE51" s="53"/>
      <c r="AF51" s="53"/>
      <c r="AG51" s="53"/>
    </row>
    <row r="52" spans="2:33" ht="15" customHeight="1" x14ac:dyDescent="0.25">
      <c r="B52" s="135" t="str">
        <f>HYPERLINK("https://www.pbo.gov.au/elections/2025-general-election/2025-election-commitments-costings/Replace-biosecurity-protection-levy-import-container-levy", "ECR-2025-2835")</f>
        <v>ECR-2025-2835</v>
      </c>
      <c r="C52" s="59" t="s">
        <v>248</v>
      </c>
      <c r="D52" s="60">
        <v>0</v>
      </c>
      <c r="E52" s="60">
        <v>0</v>
      </c>
      <c r="F52" s="60">
        <v>0</v>
      </c>
      <c r="G52" s="60">
        <v>0</v>
      </c>
      <c r="H52" s="60">
        <v>0</v>
      </c>
      <c r="I52" s="60">
        <v>0</v>
      </c>
      <c r="J52" s="60">
        <v>0</v>
      </c>
      <c r="K52" s="60">
        <v>0</v>
      </c>
      <c r="L52" s="60">
        <v>0</v>
      </c>
      <c r="M52" s="60">
        <v>0</v>
      </c>
      <c r="N52" s="60">
        <v>0</v>
      </c>
      <c r="O52" s="60">
        <v>0</v>
      </c>
      <c r="P52" s="60">
        <v>0</v>
      </c>
      <c r="Q52" s="61"/>
      <c r="R52" s="61"/>
      <c r="S52" s="59" t="s">
        <v>306</v>
      </c>
      <c r="U52" s="53"/>
      <c r="V52" s="53"/>
      <c r="W52" s="53"/>
      <c r="X52" s="53"/>
      <c r="Y52" s="53"/>
      <c r="Z52" s="53"/>
      <c r="AA52" s="53"/>
      <c r="AB52" s="53"/>
      <c r="AC52" s="53"/>
      <c r="AD52" s="53"/>
      <c r="AE52" s="53"/>
      <c r="AF52" s="53"/>
      <c r="AG52" s="53"/>
    </row>
    <row r="53" spans="2:33" ht="15" customHeight="1" x14ac:dyDescent="0.25">
      <c r="B53" s="59" t="s">
        <v>117</v>
      </c>
      <c r="C53" s="59" t="s">
        <v>395</v>
      </c>
      <c r="D53" s="60">
        <v>0</v>
      </c>
      <c r="E53" s="60">
        <v>0</v>
      </c>
      <c r="F53" s="60">
        <v>0</v>
      </c>
      <c r="G53" s="60">
        <v>0</v>
      </c>
      <c r="H53" s="60">
        <v>0</v>
      </c>
      <c r="I53" s="60">
        <v>0</v>
      </c>
      <c r="J53" s="60">
        <v>0</v>
      </c>
      <c r="K53" s="60">
        <v>0</v>
      </c>
      <c r="L53" s="60">
        <v>0</v>
      </c>
      <c r="M53" s="60">
        <v>0</v>
      </c>
      <c r="N53" s="60">
        <v>0</v>
      </c>
      <c r="O53" s="60">
        <v>0</v>
      </c>
      <c r="P53" s="60">
        <v>0</v>
      </c>
      <c r="Q53" s="61"/>
      <c r="R53" s="61"/>
      <c r="S53" t="s">
        <v>261</v>
      </c>
      <c r="U53" s="53"/>
      <c r="V53" s="53"/>
      <c r="W53" s="53"/>
      <c r="X53" s="53"/>
      <c r="Y53" s="53"/>
      <c r="Z53" s="53"/>
      <c r="AA53" s="53"/>
      <c r="AB53" s="53"/>
      <c r="AC53" s="53"/>
      <c r="AD53" s="53"/>
      <c r="AE53" s="53"/>
      <c r="AF53" s="53"/>
      <c r="AG53" s="53"/>
    </row>
    <row r="54" spans="2:33" ht="15" customHeight="1" x14ac:dyDescent="0.25">
      <c r="B54" s="59" t="s">
        <v>114</v>
      </c>
      <c r="C54" s="59" t="s">
        <v>396</v>
      </c>
      <c r="D54" s="60">
        <v>0</v>
      </c>
      <c r="E54" s="60">
        <v>0</v>
      </c>
      <c r="F54" s="60">
        <v>0</v>
      </c>
      <c r="G54" s="60">
        <v>0</v>
      </c>
      <c r="H54" s="60">
        <v>0</v>
      </c>
      <c r="I54" s="60">
        <v>0</v>
      </c>
      <c r="J54" s="60">
        <v>0</v>
      </c>
      <c r="K54" s="60">
        <v>0</v>
      </c>
      <c r="L54" s="60">
        <v>0</v>
      </c>
      <c r="M54" s="60">
        <v>0</v>
      </c>
      <c r="N54" s="60">
        <v>0</v>
      </c>
      <c r="O54" s="60">
        <v>0</v>
      </c>
      <c r="P54" s="60">
        <v>0</v>
      </c>
      <c r="Q54" s="61"/>
      <c r="R54" s="61"/>
      <c r="S54" s="59" t="s">
        <v>300</v>
      </c>
      <c r="U54" s="53"/>
      <c r="V54" s="53"/>
      <c r="W54" s="53"/>
      <c r="X54" s="53"/>
      <c r="Y54" s="53"/>
      <c r="Z54" s="53"/>
      <c r="AA54" s="53"/>
      <c r="AB54" s="53"/>
      <c r="AC54" s="53"/>
      <c r="AD54" s="53"/>
      <c r="AE54" s="53"/>
      <c r="AF54" s="53"/>
      <c r="AG54" s="53"/>
    </row>
    <row r="55" spans="2:33" ht="15" customHeight="1" x14ac:dyDescent="0.25">
      <c r="B55" s="135" t="str">
        <f>HYPERLINK("https://www.pbo.gov.au/elections/2025-general-election/2025-election-commitments-costings/Rural%20Financial%20Counselling%20Service%20%E2%80%93%20additional%20funding", "ECR-2025-2811")</f>
        <v>ECR-2025-2811</v>
      </c>
      <c r="C55" s="59" t="s">
        <v>144</v>
      </c>
      <c r="D55" s="60">
        <v>-1.8</v>
      </c>
      <c r="E55" s="60">
        <v>0</v>
      </c>
      <c r="F55" s="60">
        <v>0</v>
      </c>
      <c r="G55" s="60">
        <v>0</v>
      </c>
      <c r="H55" s="60">
        <v>0</v>
      </c>
      <c r="I55" s="60">
        <v>0</v>
      </c>
      <c r="J55" s="60">
        <v>0</v>
      </c>
      <c r="K55" s="60">
        <v>0</v>
      </c>
      <c r="L55" s="60">
        <v>0</v>
      </c>
      <c r="M55" s="60">
        <v>0</v>
      </c>
      <c r="N55" s="60">
        <v>0</v>
      </c>
      <c r="O55" s="60">
        <v>-1.8</v>
      </c>
      <c r="P55" s="60">
        <v>-1.8</v>
      </c>
      <c r="Q55" s="61"/>
      <c r="R55" s="61"/>
      <c r="S55" s="59" t="s">
        <v>298</v>
      </c>
      <c r="U55" s="53"/>
      <c r="V55" s="53"/>
      <c r="W55" s="53"/>
      <c r="X55" s="53"/>
      <c r="Y55" s="53"/>
      <c r="Z55" s="53"/>
      <c r="AA55" s="53"/>
      <c r="AB55" s="53"/>
      <c r="AC55" s="53"/>
      <c r="AD55" s="53"/>
      <c r="AE55" s="53"/>
      <c r="AF55" s="53"/>
      <c r="AG55" s="53"/>
    </row>
    <row r="56" spans="2:33" ht="15" customHeight="1" x14ac:dyDescent="0.25">
      <c r="B56" s="135" t="str">
        <f>HYPERLINK("https://www.pbo.gov.au/elections/2025-general-election/2025-election-commitments-costings/singleton-water-security-project-support", "ECR-2025-2223")</f>
        <v>ECR-2025-2223</v>
      </c>
      <c r="C56" s="59" t="s">
        <v>150</v>
      </c>
      <c r="D56" s="60">
        <v>-3</v>
      </c>
      <c r="E56" s="60">
        <v>-3</v>
      </c>
      <c r="F56" s="60">
        <v>-3</v>
      </c>
      <c r="G56" s="60">
        <v>0</v>
      </c>
      <c r="H56" s="60">
        <v>0</v>
      </c>
      <c r="I56" s="60">
        <v>0</v>
      </c>
      <c r="J56" s="60">
        <v>0</v>
      </c>
      <c r="K56" s="60">
        <v>0</v>
      </c>
      <c r="L56" s="60">
        <v>0</v>
      </c>
      <c r="M56" s="60">
        <v>0</v>
      </c>
      <c r="N56" s="60">
        <v>0</v>
      </c>
      <c r="O56" s="60">
        <v>-9</v>
      </c>
      <c r="P56" s="60">
        <v>-9</v>
      </c>
      <c r="Q56" s="61"/>
      <c r="R56" s="61"/>
      <c r="S56" s="59" t="s">
        <v>307</v>
      </c>
      <c r="U56" s="53"/>
      <c r="V56" s="53"/>
      <c r="W56" s="53"/>
      <c r="X56" s="53"/>
      <c r="Y56" s="53"/>
      <c r="Z56" s="53"/>
      <c r="AA56" s="53"/>
      <c r="AB56" s="53"/>
      <c r="AC56" s="53"/>
      <c r="AD56" s="53"/>
      <c r="AE56" s="53"/>
      <c r="AF56" s="53"/>
      <c r="AG56" s="53"/>
    </row>
    <row r="57" spans="2:33" ht="15" customHeight="1" x14ac:dyDescent="0.25">
      <c r="B57" s="135" t="str">
        <f>HYPERLINK("https://www.pbo.gov.au/elections/2025-general-election/2025-election-commitments-costings/small-business-tax-deductibility-business-related-meal-expenses", "ECR-2025-2491")</f>
        <v>ECR-2025-2491</v>
      </c>
      <c r="C57" s="59" t="s">
        <v>232</v>
      </c>
      <c r="D57" s="60">
        <v>-131</v>
      </c>
      <c r="E57" s="60">
        <v>-145</v>
      </c>
      <c r="F57" s="60">
        <v>0</v>
      </c>
      <c r="G57" s="60">
        <v>0</v>
      </c>
      <c r="H57" s="60">
        <v>0</v>
      </c>
      <c r="I57" s="60">
        <v>0</v>
      </c>
      <c r="J57" s="60">
        <v>0</v>
      </c>
      <c r="K57" s="60">
        <v>0</v>
      </c>
      <c r="L57" s="60">
        <v>0</v>
      </c>
      <c r="M57" s="60">
        <v>0</v>
      </c>
      <c r="N57" s="60">
        <v>0</v>
      </c>
      <c r="O57" s="60">
        <v>-276</v>
      </c>
      <c r="P57" s="60">
        <v>-276</v>
      </c>
      <c r="Q57" s="61"/>
      <c r="R57" s="61"/>
      <c r="S57" s="59" t="s">
        <v>261</v>
      </c>
      <c r="U57" s="53"/>
      <c r="V57" s="53"/>
      <c r="W57" s="53"/>
      <c r="X57" s="53"/>
      <c r="Y57" s="53"/>
      <c r="Z57" s="53"/>
      <c r="AA57" s="53"/>
      <c r="AB57" s="53"/>
      <c r="AC57" s="53"/>
      <c r="AD57" s="53"/>
      <c r="AE57" s="53"/>
      <c r="AF57" s="53"/>
      <c r="AG57" s="53"/>
    </row>
    <row r="58" spans="2:33" ht="15" customHeight="1" x14ac:dyDescent="0.25">
      <c r="B58" s="135" t="str">
        <f>HYPERLINK("https://www.pbo.gov.au/elections/2025-general-election/2025-election-commitments-costings/student-help-changes-not-proceeding", "ECR-2025-2230")</f>
        <v>ECR-2025-2230</v>
      </c>
      <c r="C58" s="59" t="s">
        <v>450</v>
      </c>
      <c r="D58" s="60">
        <v>968</v>
      </c>
      <c r="E58" s="60">
        <v>1044.3</v>
      </c>
      <c r="F58" s="60">
        <v>1129.4000000000001</v>
      </c>
      <c r="G58" s="60">
        <v>1195.0999999999999</v>
      </c>
      <c r="H58" s="60">
        <v>1264.2</v>
      </c>
      <c r="I58" s="60">
        <v>1338.5</v>
      </c>
      <c r="J58" s="60">
        <v>1416.1</v>
      </c>
      <c r="K58" s="60">
        <v>1500.8</v>
      </c>
      <c r="L58" s="60">
        <v>1589.6</v>
      </c>
      <c r="M58" s="60">
        <v>1683.6</v>
      </c>
      <c r="N58" s="60">
        <v>1788.8</v>
      </c>
      <c r="O58" s="60">
        <v>15053.5</v>
      </c>
      <c r="P58" s="60">
        <v>25635.1</v>
      </c>
      <c r="Q58" s="61"/>
      <c r="R58" s="61"/>
      <c r="S58" s="59" t="s">
        <v>308</v>
      </c>
      <c r="U58" s="53"/>
      <c r="V58" s="53"/>
      <c r="W58" s="53"/>
      <c r="X58" s="53"/>
      <c r="Y58" s="53"/>
      <c r="Z58" s="53"/>
      <c r="AA58" s="53"/>
      <c r="AB58" s="53"/>
      <c r="AC58" s="53"/>
      <c r="AD58" s="53"/>
      <c r="AE58" s="53"/>
      <c r="AF58" s="53"/>
      <c r="AG58" s="53"/>
    </row>
    <row r="59" spans="2:33" ht="15" customHeight="1" x14ac:dyDescent="0.25">
      <c r="B59" s="135" t="str">
        <f>HYPERLINK("https://www.pbo.gov.au/elections/2025-general-election/2025-election-commitments-costings/Student-visa-work-hours-increase", "ECR-2025-2848")</f>
        <v>ECR-2025-2848</v>
      </c>
      <c r="C59" s="59" t="s">
        <v>448</v>
      </c>
      <c r="D59" s="60">
        <v>0</v>
      </c>
      <c r="E59" s="60">
        <v>117</v>
      </c>
      <c r="F59" s="60">
        <v>110</v>
      </c>
      <c r="G59" s="60">
        <v>107</v>
      </c>
      <c r="H59" s="60">
        <v>113</v>
      </c>
      <c r="I59" s="60">
        <v>123</v>
      </c>
      <c r="J59" s="60">
        <v>135</v>
      </c>
      <c r="K59" s="60">
        <v>144</v>
      </c>
      <c r="L59" s="60">
        <v>158</v>
      </c>
      <c r="M59" s="60">
        <v>184</v>
      </c>
      <c r="N59" s="60">
        <v>212</v>
      </c>
      <c r="O59" s="60">
        <v>334</v>
      </c>
      <c r="P59" s="60">
        <v>1403</v>
      </c>
      <c r="Q59" s="61"/>
      <c r="R59" s="61"/>
      <c r="S59" s="59" t="s">
        <v>291</v>
      </c>
      <c r="U59" s="53"/>
      <c r="V59" s="53"/>
      <c r="W59" s="53"/>
      <c r="X59" s="53"/>
      <c r="Y59" s="53"/>
      <c r="Z59" s="53"/>
      <c r="AA59" s="53"/>
      <c r="AB59" s="53"/>
      <c r="AC59" s="53"/>
      <c r="AD59" s="53"/>
      <c r="AE59" s="53"/>
      <c r="AF59" s="53"/>
      <c r="AG59" s="53"/>
    </row>
    <row r="60" spans="2:33" ht="15" customHeight="1" x14ac:dyDescent="0.25">
      <c r="B60" s="135" t="str">
        <f>HYPERLINK("https://www.pbo.gov.au/elections/2025-general-election/2025-election-commitments-costings/tasmanian-freight-equalisation-scheme-resourcing", "ECR-2025-2781")</f>
        <v>ECR-2025-2781</v>
      </c>
      <c r="C60" s="59" t="s">
        <v>233</v>
      </c>
      <c r="D60" s="60">
        <v>-13</v>
      </c>
      <c r="E60" s="60">
        <v>47</v>
      </c>
      <c r="F60" s="60">
        <v>0</v>
      </c>
      <c r="G60" s="60">
        <v>0</v>
      </c>
      <c r="H60" s="60">
        <v>0</v>
      </c>
      <c r="I60" s="60">
        <v>0</v>
      </c>
      <c r="J60" s="60">
        <v>0</v>
      </c>
      <c r="K60" s="60">
        <v>0</v>
      </c>
      <c r="L60" s="60">
        <v>0</v>
      </c>
      <c r="M60" s="60">
        <v>0</v>
      </c>
      <c r="N60" s="60">
        <v>0</v>
      </c>
      <c r="O60" s="60">
        <v>34</v>
      </c>
      <c r="P60" s="60">
        <v>34</v>
      </c>
      <c r="Q60" s="61"/>
      <c r="R60" s="61"/>
      <c r="S60" s="59" t="s">
        <v>309</v>
      </c>
      <c r="U60" s="53"/>
      <c r="V60" s="53"/>
      <c r="W60" s="53"/>
      <c r="X60" s="53"/>
      <c r="Y60" s="53"/>
      <c r="Z60" s="53"/>
      <c r="AA60" s="53"/>
      <c r="AB60" s="53"/>
      <c r="AC60" s="53"/>
      <c r="AD60" s="53"/>
      <c r="AE60" s="53"/>
      <c r="AF60" s="53"/>
      <c r="AG60" s="53"/>
    </row>
    <row r="61" spans="2:33" ht="15" customHeight="1" x14ac:dyDescent="0.25">
      <c r="B61" s="135" t="str">
        <f>HYPERLINK("https://www.pbo.gov.au/elections/2025-general-election/2025-election-commitments-costings/Tax%20breaks%20for%20electric%20vehicle%20%E2%80%93%20reverse", "ECR-2025-2045")</f>
        <v>ECR-2025-2045</v>
      </c>
      <c r="C61" s="59" t="s">
        <v>422</v>
      </c>
      <c r="D61" s="60">
        <v>317</v>
      </c>
      <c r="E61" s="60">
        <v>644</v>
      </c>
      <c r="F61" s="60">
        <v>966</v>
      </c>
      <c r="G61" s="60">
        <v>1340</v>
      </c>
      <c r="H61" s="60">
        <v>1675</v>
      </c>
      <c r="I61" s="60">
        <v>2031</v>
      </c>
      <c r="J61" s="60">
        <v>2448</v>
      </c>
      <c r="K61" s="60">
        <v>2870</v>
      </c>
      <c r="L61" s="60">
        <v>3347</v>
      </c>
      <c r="M61" s="60">
        <v>3795</v>
      </c>
      <c r="N61" s="60">
        <v>4268</v>
      </c>
      <c r="O61" s="60">
        <v>3267</v>
      </c>
      <c r="P61" s="60">
        <v>23701</v>
      </c>
      <c r="Q61" s="61"/>
      <c r="R61" s="61"/>
      <c r="S61" s="59" t="s">
        <v>261</v>
      </c>
      <c r="U61" s="53"/>
      <c r="V61" s="53"/>
      <c r="W61" s="53"/>
      <c r="X61" s="53"/>
      <c r="Y61" s="53"/>
      <c r="Z61" s="53"/>
      <c r="AA61" s="53"/>
      <c r="AB61" s="53"/>
      <c r="AC61" s="53"/>
      <c r="AD61" s="53"/>
      <c r="AE61" s="53"/>
      <c r="AF61" s="53"/>
      <c r="AG61" s="53"/>
    </row>
    <row r="62" spans="2:33" ht="15" customHeight="1" x14ac:dyDescent="0.25">
      <c r="B62" s="135" t="str">
        <f>HYPERLINK("https://www.pbo.gov.au/elections/2025-general-election/2025-election-commitments-costings/Tax-unrealised-capital-gains-do-not-proceed", "ECR-2025-2011")</f>
        <v>ECR-2025-2011</v>
      </c>
      <c r="C62" s="59" t="s">
        <v>371</v>
      </c>
      <c r="D62" s="60">
        <v>-314</v>
      </c>
      <c r="E62" s="60">
        <v>-659.2</v>
      </c>
      <c r="F62" s="60">
        <v>-2266.6</v>
      </c>
      <c r="G62" s="60">
        <v>-2717.5</v>
      </c>
      <c r="H62" s="60">
        <v>-3237.7</v>
      </c>
      <c r="I62" s="60">
        <v>-3797.7</v>
      </c>
      <c r="J62" s="60">
        <v>-4427.7</v>
      </c>
      <c r="K62" s="60">
        <v>-5177.7</v>
      </c>
      <c r="L62" s="60">
        <v>-6027.7</v>
      </c>
      <c r="M62" s="60">
        <v>-7027.7</v>
      </c>
      <c r="N62" s="60">
        <v>-8197.7000000000007</v>
      </c>
      <c r="O62" s="60">
        <v>-5957.3</v>
      </c>
      <c r="P62" s="60">
        <v>-43851.199999999997</v>
      </c>
      <c r="Q62" s="61"/>
      <c r="R62" s="61"/>
      <c r="S62" s="59" t="s">
        <v>261</v>
      </c>
      <c r="U62" s="53"/>
      <c r="V62" s="53"/>
      <c r="W62" s="53"/>
      <c r="X62" s="53"/>
      <c r="Y62" s="53"/>
      <c r="Z62" s="53"/>
      <c r="AA62" s="53"/>
      <c r="AB62" s="53"/>
      <c r="AC62" s="53"/>
      <c r="AD62" s="53"/>
      <c r="AE62" s="53"/>
      <c r="AF62" s="53"/>
      <c r="AG62" s="53"/>
    </row>
    <row r="63" spans="2:33" ht="15" customHeight="1" x14ac:dyDescent="0.25">
      <c r="B63" s="135" t="str">
        <f>HYPERLINK("https://www.pbo.gov.au/elections/2025-general-election/2025-election-commitments-costings/Tech%20Booster", "ECR-2025-2670")</f>
        <v>ECR-2025-2670</v>
      </c>
      <c r="C63" s="59" t="s">
        <v>219</v>
      </c>
      <c r="D63" s="60">
        <v>-3</v>
      </c>
      <c r="E63" s="60">
        <v>-42.3</v>
      </c>
      <c r="F63" s="60">
        <v>-65.8</v>
      </c>
      <c r="G63" s="60">
        <v>-29.1</v>
      </c>
      <c r="H63" s="60">
        <v>-6.5</v>
      </c>
      <c r="I63" s="60">
        <v>0</v>
      </c>
      <c r="J63" s="60">
        <v>0</v>
      </c>
      <c r="K63" s="60">
        <v>0</v>
      </c>
      <c r="L63" s="60">
        <v>0</v>
      </c>
      <c r="M63" s="60">
        <v>0</v>
      </c>
      <c r="N63" s="60">
        <v>0</v>
      </c>
      <c r="O63" s="60">
        <v>-140.19999999999999</v>
      </c>
      <c r="P63" s="60">
        <v>-146.69999999999999</v>
      </c>
      <c r="Q63" s="61"/>
      <c r="R63" s="61"/>
      <c r="S63" s="59" t="s">
        <v>266</v>
      </c>
      <c r="U63" s="53"/>
      <c r="V63" s="53"/>
      <c r="W63" s="53"/>
      <c r="X63" s="53"/>
      <c r="Y63" s="53"/>
      <c r="Z63" s="53"/>
      <c r="AA63" s="53"/>
      <c r="AB63" s="53"/>
      <c r="AC63" s="53"/>
      <c r="AD63" s="53"/>
      <c r="AE63" s="53"/>
      <c r="AF63" s="53"/>
      <c r="AG63" s="53"/>
    </row>
    <row r="64" spans="2:33" ht="15" customHeight="1" x14ac:dyDescent="0.25">
      <c r="B64" s="135" t="str">
        <f>HYPERLINK("https://www.pbo.gov.au/elections/2025-general-election/2025-election-commitments-costings/timber-manufacturing-expansion-program", "ECR-2025-2436")</f>
        <v>ECR-2025-2436</v>
      </c>
      <c r="C64" s="59" t="s">
        <v>151</v>
      </c>
      <c r="D64" s="60">
        <v>-13.4</v>
      </c>
      <c r="E64" s="60">
        <v>-13.3</v>
      </c>
      <c r="F64" s="60">
        <v>-13.3</v>
      </c>
      <c r="G64" s="60">
        <v>0</v>
      </c>
      <c r="H64" s="60">
        <v>0</v>
      </c>
      <c r="I64" s="60">
        <v>0</v>
      </c>
      <c r="J64" s="60">
        <v>0</v>
      </c>
      <c r="K64" s="60">
        <v>0</v>
      </c>
      <c r="L64" s="60">
        <v>0</v>
      </c>
      <c r="M64" s="60">
        <v>0</v>
      </c>
      <c r="N64" s="60">
        <v>0</v>
      </c>
      <c r="O64" s="60">
        <v>-40</v>
      </c>
      <c r="P64" s="60">
        <v>-40</v>
      </c>
      <c r="Q64" s="61"/>
      <c r="R64" s="61"/>
      <c r="S64" s="59" t="s">
        <v>310</v>
      </c>
      <c r="U64" s="53"/>
      <c r="V64" s="53"/>
      <c r="W64" s="53"/>
      <c r="X64" s="53"/>
      <c r="Y64" s="53"/>
      <c r="Z64" s="53"/>
      <c r="AA64" s="53"/>
      <c r="AB64" s="53"/>
      <c r="AC64" s="53"/>
      <c r="AD64" s="53"/>
      <c r="AE64" s="53"/>
      <c r="AF64" s="53"/>
      <c r="AG64" s="53"/>
    </row>
    <row r="65" spans="2:33" ht="15" customHeight="1" x14ac:dyDescent="0.25">
      <c r="B65" s="62" t="s">
        <v>376</v>
      </c>
      <c r="C65" s="62"/>
      <c r="D65" s="63">
        <v>-3525.8</v>
      </c>
      <c r="E65" s="63">
        <v>-2388.8000000000002</v>
      </c>
      <c r="F65" s="63">
        <v>10983.9</v>
      </c>
      <c r="G65" s="63">
        <v>14878</v>
      </c>
      <c r="H65" s="63">
        <v>17762.599999999999</v>
      </c>
      <c r="I65" s="63">
        <v>19420.2</v>
      </c>
      <c r="J65" s="63">
        <v>20109.8</v>
      </c>
      <c r="K65" s="63">
        <v>20572.900000000001</v>
      </c>
      <c r="L65" s="63">
        <v>21041.599999999999</v>
      </c>
      <c r="M65" s="63">
        <v>21332.7</v>
      </c>
      <c r="N65" s="63">
        <v>21595.5</v>
      </c>
      <c r="O65" s="63">
        <v>30664</v>
      </c>
      <c r="P65" s="63">
        <v>172499.3</v>
      </c>
      <c r="Q65" s="64" t="s">
        <v>9</v>
      </c>
      <c r="R65" s="64"/>
      <c r="S65" s="62" t="s">
        <v>10</v>
      </c>
      <c r="U65" s="53"/>
      <c r="V65" s="53"/>
      <c r="W65" s="53"/>
      <c r="X65" s="53"/>
      <c r="Y65" s="53"/>
      <c r="Z65" s="53"/>
      <c r="AA65" s="53"/>
      <c r="AB65" s="53"/>
      <c r="AC65" s="53"/>
      <c r="AD65" s="53"/>
      <c r="AE65" s="53"/>
      <c r="AF65" s="53"/>
      <c r="AG65" s="53"/>
    </row>
    <row r="66" spans="2:33" ht="15" customHeight="1" x14ac:dyDescent="0.25">
      <c r="B66" s="81" t="s">
        <v>100</v>
      </c>
      <c r="C66" s="3"/>
      <c r="D66" s="55" t="s">
        <v>10</v>
      </c>
      <c r="E66" s="55" t="s">
        <v>10</v>
      </c>
      <c r="F66" s="55" t="s">
        <v>10</v>
      </c>
      <c r="G66" s="55" t="s">
        <v>10</v>
      </c>
      <c r="H66" s="55" t="s">
        <v>10</v>
      </c>
      <c r="I66" s="55" t="s">
        <v>10</v>
      </c>
      <c r="J66" s="55" t="s">
        <v>10</v>
      </c>
      <c r="K66" s="55" t="s">
        <v>10</v>
      </c>
      <c r="L66" s="55" t="s">
        <v>10</v>
      </c>
      <c r="M66" s="55" t="s">
        <v>10</v>
      </c>
      <c r="N66" s="55" t="s">
        <v>10</v>
      </c>
      <c r="O66" s="55" t="s">
        <v>10</v>
      </c>
      <c r="P66" s="55" t="s">
        <v>10</v>
      </c>
      <c r="Q66" s="4"/>
      <c r="R66" s="4"/>
      <c r="S66" s="3" t="s">
        <v>10</v>
      </c>
      <c r="U66" s="53"/>
      <c r="V66" s="53"/>
      <c r="W66" s="53"/>
      <c r="X66" s="53"/>
      <c r="Y66" s="53"/>
      <c r="Z66" s="53"/>
      <c r="AA66" s="53"/>
      <c r="AB66" s="53"/>
      <c r="AC66" s="53"/>
      <c r="AD66" s="53"/>
      <c r="AE66" s="53"/>
      <c r="AF66" s="53"/>
      <c r="AG66" s="53"/>
    </row>
    <row r="67" spans="2:33" ht="15" customHeight="1" x14ac:dyDescent="0.25">
      <c r="B67" s="135" t="s">
        <v>382</v>
      </c>
      <c r="C67" s="59" t="s">
        <v>607</v>
      </c>
      <c r="D67" s="60">
        <v>-153.69999999999999</v>
      </c>
      <c r="E67" s="60">
        <v>-174.6</v>
      </c>
      <c r="F67" s="60">
        <v>-197.8</v>
      </c>
      <c r="G67" s="60">
        <v>-166.1</v>
      </c>
      <c r="H67" s="60">
        <v>-245.1</v>
      </c>
      <c r="I67" s="60">
        <v>-386.1</v>
      </c>
      <c r="J67" s="60">
        <v>-587</v>
      </c>
      <c r="K67" s="60">
        <v>-847.9</v>
      </c>
      <c r="L67" s="60">
        <v>-1159</v>
      </c>
      <c r="M67" s="60">
        <v>-1539.9</v>
      </c>
      <c r="N67" s="60">
        <v>-2030.8</v>
      </c>
      <c r="O67" s="60">
        <v>-692.2</v>
      </c>
      <c r="P67" s="60">
        <v>-7488</v>
      </c>
      <c r="Q67" s="61"/>
      <c r="R67" s="61"/>
      <c r="S67" s="59" t="s">
        <v>261</v>
      </c>
      <c r="U67" s="53"/>
      <c r="V67" s="53"/>
      <c r="W67" s="53"/>
      <c r="X67" s="53"/>
      <c r="Y67" s="53"/>
      <c r="Z67" s="53"/>
      <c r="AA67" s="53"/>
      <c r="AB67" s="53"/>
      <c r="AC67" s="53"/>
      <c r="AD67" s="53"/>
      <c r="AE67" s="53"/>
      <c r="AF67" s="53"/>
      <c r="AG67" s="53"/>
    </row>
    <row r="68" spans="2:33" ht="15" customHeight="1" x14ac:dyDescent="0.25">
      <c r="B68" s="135" t="str">
        <f>HYPERLINK("https://www.pbo.gov.au/elections/2025-general-election/2025-election-commitments-costings/daintree-renewable-energy-microgrid-project-support", "ECR-2025-2715")</f>
        <v>ECR-2025-2715</v>
      </c>
      <c r="C68" s="59" t="s">
        <v>171</v>
      </c>
      <c r="D68" s="60">
        <v>-6.3</v>
      </c>
      <c r="E68" s="60">
        <v>-6.3</v>
      </c>
      <c r="F68" s="60">
        <v>-6.2</v>
      </c>
      <c r="G68" s="60">
        <v>0</v>
      </c>
      <c r="H68" s="60">
        <v>0</v>
      </c>
      <c r="I68" s="60">
        <v>0</v>
      </c>
      <c r="J68" s="60">
        <v>0</v>
      </c>
      <c r="K68" s="60">
        <v>0</v>
      </c>
      <c r="L68" s="60">
        <v>0</v>
      </c>
      <c r="M68" s="60">
        <v>0</v>
      </c>
      <c r="N68" s="60">
        <v>0</v>
      </c>
      <c r="O68" s="60">
        <v>-18.8</v>
      </c>
      <c r="P68" s="60">
        <v>-18.8</v>
      </c>
      <c r="Q68" s="61"/>
      <c r="R68" s="61"/>
      <c r="S68" s="59" t="s">
        <v>261</v>
      </c>
      <c r="U68" s="53"/>
      <c r="V68" s="53"/>
      <c r="W68" s="53"/>
      <c r="X68" s="53"/>
      <c r="Y68" s="53"/>
      <c r="Z68" s="53"/>
      <c r="AA68" s="53"/>
      <c r="AB68" s="53"/>
      <c r="AC68" s="53"/>
      <c r="AD68" s="53"/>
      <c r="AE68" s="53"/>
      <c r="AF68" s="53"/>
      <c r="AG68" s="53"/>
    </row>
    <row r="69" spans="2:33" ht="15" customHeight="1" x14ac:dyDescent="0.25">
      <c r="B69" s="135" t="str">
        <f>HYPERLINK("https://www.pbo.gov.au/elections/2025-general-election/2025-election-commitments-costings/Deliver%20a%20National%20Gas%20Plan%20%E2%80%93%20%241%20billion%20Critical%20Gas%20Infrastructure%20Fund", "ECR-2025-2455")</f>
        <v>ECR-2025-2455</v>
      </c>
      <c r="C69" s="59" t="s">
        <v>243</v>
      </c>
      <c r="D69" s="60">
        <v>0.8</v>
      </c>
      <c r="E69" s="60">
        <v>2.2000000000000002</v>
      </c>
      <c r="F69" s="60">
        <v>3.9</v>
      </c>
      <c r="G69" s="60">
        <v>6.1</v>
      </c>
      <c r="H69" s="60">
        <v>8.5</v>
      </c>
      <c r="I69" s="60">
        <v>8.4</v>
      </c>
      <c r="J69" s="60">
        <v>10.6</v>
      </c>
      <c r="K69" s="60">
        <v>12.8</v>
      </c>
      <c r="L69" s="60">
        <v>15.4</v>
      </c>
      <c r="M69" s="60">
        <v>18.100000000000001</v>
      </c>
      <c r="N69" s="60">
        <v>21</v>
      </c>
      <c r="O69" s="60">
        <v>13</v>
      </c>
      <c r="P69" s="60">
        <v>107.8</v>
      </c>
      <c r="Q69" s="61"/>
      <c r="R69" s="61"/>
      <c r="S69" s="59" t="s">
        <v>296</v>
      </c>
      <c r="U69" s="53"/>
      <c r="V69" s="53"/>
      <c r="W69" s="53"/>
      <c r="X69" s="53"/>
      <c r="Y69" s="53"/>
      <c r="Z69" s="53"/>
      <c r="AA69" s="53"/>
      <c r="AB69" s="53"/>
      <c r="AC69" s="53"/>
      <c r="AD69" s="53"/>
      <c r="AE69" s="53"/>
      <c r="AF69" s="53"/>
      <c r="AG69" s="53"/>
    </row>
    <row r="70" spans="2:33" ht="15" customHeight="1" x14ac:dyDescent="0.25">
      <c r="B70" s="135" t="str">
        <f>HYPERLINK("https://www.pbo.gov.au/elections/2025-general-election/2025-election-commitments-costings/Deliver%20a%20National%20Gas%20Plan%20%E2%80%93%20Strategic%20Basin%20Plan", "ECR-2025-2578")</f>
        <v>ECR-2025-2578</v>
      </c>
      <c r="C70" s="59" t="s">
        <v>631</v>
      </c>
      <c r="D70" s="60">
        <v>-58.9</v>
      </c>
      <c r="E70" s="60">
        <v>-18.600000000000001</v>
      </c>
      <c r="F70" s="60">
        <v>-36.299999999999997</v>
      </c>
      <c r="G70" s="60">
        <v>-36.299999999999997</v>
      </c>
      <c r="H70" s="60">
        <v>-150</v>
      </c>
      <c r="I70" s="60">
        <v>0</v>
      </c>
      <c r="J70" s="60">
        <v>0</v>
      </c>
      <c r="K70" s="60">
        <v>0</v>
      </c>
      <c r="L70" s="60">
        <v>0</v>
      </c>
      <c r="M70" s="60">
        <v>0</v>
      </c>
      <c r="N70" s="60">
        <v>0</v>
      </c>
      <c r="O70" s="60">
        <v>-150.1</v>
      </c>
      <c r="P70" s="60">
        <v>-300.10000000000002</v>
      </c>
      <c r="Q70" s="61"/>
      <c r="R70" s="61"/>
      <c r="S70" s="59" t="s">
        <v>261</v>
      </c>
      <c r="U70" s="53"/>
      <c r="V70" s="53"/>
      <c r="W70" s="53"/>
      <c r="X70" s="53"/>
      <c r="Y70" s="53"/>
      <c r="Z70" s="53"/>
      <c r="AA70" s="53"/>
      <c r="AB70" s="53"/>
      <c r="AC70" s="53"/>
      <c r="AD70" s="53"/>
      <c r="AE70" s="53"/>
      <c r="AF70" s="53"/>
      <c r="AG70" s="53"/>
    </row>
    <row r="71" spans="2:33" ht="15" customHeight="1" x14ac:dyDescent="0.25">
      <c r="B71" s="135" t="str">
        <f>HYPERLINK("https://www.pbo.gov.au/elections/2025-general-election/2025-election-commitments-costings/home-batteries-program-redirect", "ECR-2025-2129")</f>
        <v>ECR-2025-2129</v>
      </c>
      <c r="C71" s="59" t="s">
        <v>223</v>
      </c>
      <c r="D71" s="60">
        <v>410.5</v>
      </c>
      <c r="E71" s="60">
        <v>720.7</v>
      </c>
      <c r="F71" s="60">
        <v>613.79999999999995</v>
      </c>
      <c r="G71" s="60">
        <v>590.4</v>
      </c>
      <c r="H71" s="60">
        <v>602.4</v>
      </c>
      <c r="I71" s="60">
        <v>455.8</v>
      </c>
      <c r="J71" s="60">
        <v>148.19999999999999</v>
      </c>
      <c r="K71" s="60">
        <v>0.3</v>
      </c>
      <c r="L71" s="60">
        <v>0.3</v>
      </c>
      <c r="M71" s="60">
        <v>0.3</v>
      </c>
      <c r="N71" s="60">
        <v>0</v>
      </c>
      <c r="O71" s="60">
        <v>2335.4</v>
      </c>
      <c r="P71" s="60">
        <v>3542.7</v>
      </c>
      <c r="Q71" s="61"/>
      <c r="R71" s="61"/>
      <c r="S71" s="59" t="s">
        <v>261</v>
      </c>
      <c r="U71" s="53"/>
      <c r="V71" s="53"/>
      <c r="W71" s="53"/>
      <c r="X71" s="53"/>
      <c r="Y71" s="53"/>
      <c r="Z71" s="53"/>
      <c r="AA71" s="53"/>
      <c r="AB71" s="53"/>
      <c r="AC71" s="53"/>
      <c r="AD71" s="53"/>
      <c r="AE71" s="53"/>
      <c r="AF71" s="53"/>
      <c r="AG71" s="53"/>
    </row>
    <row r="72" spans="2:33" ht="15" customHeight="1" x14ac:dyDescent="0.25">
      <c r="B72" s="135" t="str">
        <f>HYPERLINK("https://www.pbo.gov.au/elections/2025-general-election/2025-election-commitments-costings/redirect-funding-DCCEEW", "ECR-2025-2110")</f>
        <v>ECR-2025-2110</v>
      </c>
      <c r="C72" s="59" t="s">
        <v>170</v>
      </c>
      <c r="D72" s="60">
        <v>38.1</v>
      </c>
      <c r="E72" s="60">
        <v>9.5</v>
      </c>
      <c r="F72" s="60">
        <v>0</v>
      </c>
      <c r="G72" s="60">
        <v>0</v>
      </c>
      <c r="H72" s="60">
        <v>0</v>
      </c>
      <c r="I72" s="60">
        <v>0</v>
      </c>
      <c r="J72" s="60">
        <v>0</v>
      </c>
      <c r="K72" s="60">
        <v>0</v>
      </c>
      <c r="L72" s="60">
        <v>0</v>
      </c>
      <c r="M72" s="60">
        <v>0</v>
      </c>
      <c r="N72" s="60">
        <v>0</v>
      </c>
      <c r="O72" s="60">
        <v>47.6</v>
      </c>
      <c r="P72" s="60">
        <v>47.6</v>
      </c>
      <c r="Q72" s="61"/>
      <c r="R72" s="61"/>
      <c r="S72" s="59" t="s">
        <v>261</v>
      </c>
      <c r="U72" s="53"/>
      <c r="V72" s="53"/>
      <c r="W72" s="53"/>
      <c r="X72" s="53"/>
      <c r="Y72" s="53"/>
      <c r="Z72" s="53"/>
      <c r="AA72" s="53"/>
      <c r="AB72" s="53"/>
      <c r="AC72" s="53"/>
      <c r="AD72" s="53"/>
      <c r="AE72" s="53"/>
      <c r="AF72" s="53"/>
      <c r="AG72" s="53"/>
    </row>
    <row r="73" spans="2:33" ht="15" customHeight="1" x14ac:dyDescent="0.25">
      <c r="B73" s="135" t="str">
        <f>HYPERLINK("https://www.pbo.gov.au/elections/2025-general-election/2025-election-commitments-costings/restoring-ARENA-its-original-function", "ECR-2025-2784")</f>
        <v>ECR-2025-2784</v>
      </c>
      <c r="C73" s="59" t="s">
        <v>169</v>
      </c>
      <c r="D73" s="60">
        <v>168</v>
      </c>
      <c r="E73" s="60">
        <v>272</v>
      </c>
      <c r="F73" s="60">
        <v>590</v>
      </c>
      <c r="G73" s="60">
        <v>695</v>
      </c>
      <c r="H73" s="60">
        <v>677</v>
      </c>
      <c r="I73" s="60">
        <v>671</v>
      </c>
      <c r="J73" s="60">
        <v>572</v>
      </c>
      <c r="K73" s="60">
        <v>490</v>
      </c>
      <c r="L73" s="60">
        <v>465</v>
      </c>
      <c r="M73" s="60">
        <v>265</v>
      </c>
      <c r="N73" s="60">
        <v>265</v>
      </c>
      <c r="O73" s="60">
        <v>1725</v>
      </c>
      <c r="P73" s="60">
        <v>5130</v>
      </c>
      <c r="Q73" s="61"/>
      <c r="R73" s="61"/>
      <c r="S73" s="59" t="s">
        <v>261</v>
      </c>
      <c r="U73" s="53"/>
      <c r="V73" s="53"/>
      <c r="W73" s="53"/>
      <c r="X73" s="53"/>
      <c r="Y73" s="53"/>
      <c r="Z73" s="53"/>
      <c r="AA73" s="53"/>
      <c r="AB73" s="53"/>
      <c r="AC73" s="53"/>
      <c r="AD73" s="53"/>
      <c r="AE73" s="53"/>
      <c r="AF73" s="53"/>
      <c r="AG73" s="53"/>
    </row>
    <row r="74" spans="2:33" ht="15" customHeight="1" x14ac:dyDescent="0.25">
      <c r="B74" s="135" t="str">
        <f>HYPERLINK("https://www.pbo.gov.au/elections/2025-general-election/2025-election-commitments-costings/Rewiring%20the%20Nation%20Fund%20%E2%80%93%20unwind%20and%20redirect", "ECR-2025-2173")</f>
        <v>ECR-2025-2173</v>
      </c>
      <c r="C74" s="59" t="s">
        <v>172</v>
      </c>
      <c r="D74" s="60">
        <v>30.7</v>
      </c>
      <c r="E74" s="60">
        <v>26.9</v>
      </c>
      <c r="F74" s="60">
        <v>25.5</v>
      </c>
      <c r="G74" s="60">
        <v>18.399999999999999</v>
      </c>
      <c r="H74" s="60">
        <v>18.2</v>
      </c>
      <c r="I74" s="60">
        <v>18.899999999999999</v>
      </c>
      <c r="J74" s="60">
        <v>19.8</v>
      </c>
      <c r="K74" s="60">
        <v>20.7</v>
      </c>
      <c r="L74" s="60">
        <v>21.6</v>
      </c>
      <c r="M74" s="60">
        <v>22.6</v>
      </c>
      <c r="N74" s="60">
        <v>23.9</v>
      </c>
      <c r="O74" s="60">
        <v>101.5</v>
      </c>
      <c r="P74" s="60">
        <v>247.2</v>
      </c>
      <c r="Q74" s="61"/>
      <c r="R74" s="61"/>
      <c r="S74" s="59" t="s">
        <v>261</v>
      </c>
      <c r="U74" s="53"/>
      <c r="V74" s="53"/>
      <c r="W74" s="53"/>
      <c r="X74" s="53"/>
      <c r="Y74" s="53"/>
      <c r="Z74" s="53"/>
      <c r="AA74" s="53"/>
      <c r="AB74" s="53"/>
      <c r="AC74" s="53"/>
      <c r="AD74" s="53"/>
      <c r="AE74" s="53"/>
      <c r="AF74" s="53"/>
      <c r="AG74" s="53"/>
    </row>
    <row r="75" spans="2:33" ht="15" customHeight="1" x14ac:dyDescent="0.25">
      <c r="B75" s="62" t="s">
        <v>377</v>
      </c>
      <c r="C75" s="62"/>
      <c r="D75" s="63">
        <v>429.2</v>
      </c>
      <c r="E75" s="63">
        <v>831.8</v>
      </c>
      <c r="F75" s="63">
        <v>992.9</v>
      </c>
      <c r="G75" s="63">
        <v>1107.5</v>
      </c>
      <c r="H75" s="63">
        <v>911</v>
      </c>
      <c r="I75" s="63">
        <v>768</v>
      </c>
      <c r="J75" s="63">
        <v>163.6</v>
      </c>
      <c r="K75" s="63">
        <v>-324.10000000000002</v>
      </c>
      <c r="L75" s="63">
        <v>-656.7</v>
      </c>
      <c r="M75" s="63">
        <v>-1233.9000000000001</v>
      </c>
      <c r="N75" s="63">
        <v>-1720.9</v>
      </c>
      <c r="O75" s="63">
        <v>3361.4</v>
      </c>
      <c r="P75" s="63">
        <v>1268.4000000000001</v>
      </c>
      <c r="Q75" s="64" t="s">
        <v>9</v>
      </c>
      <c r="R75" s="64"/>
      <c r="S75" s="62" t="s">
        <v>10</v>
      </c>
      <c r="U75" s="53"/>
      <c r="V75" s="53"/>
      <c r="W75" s="53"/>
      <c r="X75" s="53"/>
      <c r="Y75" s="53"/>
      <c r="Z75" s="53"/>
      <c r="AA75" s="53"/>
      <c r="AB75" s="53"/>
      <c r="AC75" s="53"/>
      <c r="AD75" s="53"/>
      <c r="AE75" s="53"/>
      <c r="AF75" s="53"/>
      <c r="AG75" s="53"/>
    </row>
    <row r="76" spans="2:33" ht="15" customHeight="1" x14ac:dyDescent="0.25">
      <c r="B76" s="81" t="s">
        <v>99</v>
      </c>
      <c r="C76" s="3"/>
      <c r="D76" s="55" t="s">
        <v>10</v>
      </c>
      <c r="E76" s="55" t="s">
        <v>10</v>
      </c>
      <c r="F76" s="55" t="s">
        <v>10</v>
      </c>
      <c r="G76" s="55" t="s">
        <v>10</v>
      </c>
      <c r="H76" s="55" t="s">
        <v>10</v>
      </c>
      <c r="I76" s="55" t="s">
        <v>10</v>
      </c>
      <c r="J76" s="55" t="s">
        <v>10</v>
      </c>
      <c r="K76" s="55" t="s">
        <v>10</v>
      </c>
      <c r="L76" s="55" t="s">
        <v>10</v>
      </c>
      <c r="M76" s="55" t="s">
        <v>10</v>
      </c>
      <c r="N76" s="55" t="s">
        <v>10</v>
      </c>
      <c r="O76" s="55" t="s">
        <v>10</v>
      </c>
      <c r="P76" s="55" t="s">
        <v>10</v>
      </c>
      <c r="Q76" s="4"/>
      <c r="R76" s="4"/>
      <c r="S76" s="3" t="s">
        <v>10</v>
      </c>
      <c r="U76" s="53"/>
      <c r="V76" s="53"/>
      <c r="W76" s="53"/>
      <c r="X76" s="53"/>
      <c r="Y76" s="53"/>
      <c r="Z76" s="53"/>
      <c r="AA76" s="53"/>
      <c r="AB76" s="53"/>
      <c r="AC76" s="53"/>
      <c r="AD76" s="53"/>
      <c r="AE76" s="53"/>
      <c r="AF76" s="53"/>
      <c r="AG76" s="53"/>
    </row>
    <row r="77" spans="2:33" ht="15" customHeight="1" x14ac:dyDescent="0.25">
      <c r="B77" s="135" t="str">
        <f>HYPERLINK("https://www.pbo.gov.au/elections/2025-general-election/2025-election-commitments-costings/agricultural-and-mining-roads-program", "ECR-2025-2368")</f>
        <v>ECR-2025-2368</v>
      </c>
      <c r="C77" s="59" t="s">
        <v>423</v>
      </c>
      <c r="D77" s="60">
        <v>-150</v>
      </c>
      <c r="E77" s="60">
        <v>-150</v>
      </c>
      <c r="F77" s="60">
        <v>-150</v>
      </c>
      <c r="G77" s="60">
        <v>-150</v>
      </c>
      <c r="H77" s="60">
        <v>0</v>
      </c>
      <c r="I77" s="60">
        <v>0</v>
      </c>
      <c r="J77" s="60">
        <v>0</v>
      </c>
      <c r="K77" s="60">
        <v>0</v>
      </c>
      <c r="L77" s="60">
        <v>0</v>
      </c>
      <c r="M77" s="60">
        <v>0</v>
      </c>
      <c r="N77" s="60">
        <v>0</v>
      </c>
      <c r="O77" s="60">
        <v>-600</v>
      </c>
      <c r="P77" s="60">
        <v>-600</v>
      </c>
      <c r="Q77" s="61"/>
      <c r="R77" s="61"/>
      <c r="S77" s="59" t="s">
        <v>261</v>
      </c>
      <c r="U77" s="53"/>
      <c r="V77" s="53"/>
      <c r="W77" s="53"/>
      <c r="X77" s="53"/>
      <c r="Y77" s="53"/>
      <c r="Z77" s="53"/>
      <c r="AA77" s="53"/>
      <c r="AB77" s="53"/>
      <c r="AC77" s="53"/>
      <c r="AD77" s="53"/>
      <c r="AE77" s="53"/>
      <c r="AF77" s="53"/>
      <c r="AG77" s="53"/>
    </row>
    <row r="78" spans="2:33" ht="15" customHeight="1" x14ac:dyDescent="0.25">
      <c r="B78" s="135" t="str">
        <f>HYPERLINK("https://www.pbo.gov.au/elections/2025-general-election/2025-election-commitments-costings/Better-transport-and-telecommunications-infrastructure", "ECR-2025-2328")</f>
        <v>ECR-2025-2328</v>
      </c>
      <c r="C78" s="59" t="s">
        <v>252</v>
      </c>
      <c r="D78" s="60">
        <v>-130.19999999999999</v>
      </c>
      <c r="E78" s="60">
        <v>-418.2</v>
      </c>
      <c r="F78" s="60">
        <v>-531</v>
      </c>
      <c r="G78" s="60">
        <v>-342.3</v>
      </c>
      <c r="H78" s="60">
        <v>-181.4</v>
      </c>
      <c r="I78" s="60">
        <v>-82</v>
      </c>
      <c r="J78" s="60">
        <v>-70.7</v>
      </c>
      <c r="K78" s="60">
        <v>-8.4</v>
      </c>
      <c r="L78" s="60">
        <v>0</v>
      </c>
      <c r="M78" s="60">
        <v>0</v>
      </c>
      <c r="N78" s="60">
        <v>0</v>
      </c>
      <c r="O78" s="60">
        <v>-1421.7</v>
      </c>
      <c r="P78" s="60">
        <v>-1764.2</v>
      </c>
      <c r="Q78" s="61"/>
      <c r="R78" s="61"/>
      <c r="S78" s="59" t="s">
        <v>318</v>
      </c>
      <c r="U78" s="53"/>
      <c r="V78" s="53"/>
      <c r="W78" s="53"/>
      <c r="X78" s="53"/>
      <c r="Y78" s="53"/>
      <c r="Z78" s="53"/>
      <c r="AA78" s="53"/>
      <c r="AB78" s="53"/>
      <c r="AC78" s="53"/>
      <c r="AD78" s="53"/>
      <c r="AE78" s="53"/>
      <c r="AF78" s="53"/>
      <c r="AG78" s="53"/>
    </row>
    <row r="79" spans="2:33" ht="15" customHeight="1" x14ac:dyDescent="0.25">
      <c r="B79" s="135" t="str">
        <f>HYPERLINK("https://www.pbo.gov.au/elections/2025-general-election/2025-election-commitments-costings/Build%20to%20Rent%20Tax%20Changes%20-%20reverse", "ECR-2025-2083")</f>
        <v>ECR-2025-2083</v>
      </c>
      <c r="C79" s="59" t="s">
        <v>362</v>
      </c>
      <c r="D79" s="60">
        <v>20</v>
      </c>
      <c r="E79" s="60">
        <v>35</v>
      </c>
      <c r="F79" s="60">
        <v>55</v>
      </c>
      <c r="G79" s="60">
        <v>80</v>
      </c>
      <c r="H79" s="60">
        <v>90</v>
      </c>
      <c r="I79" s="60">
        <v>100</v>
      </c>
      <c r="J79" s="60">
        <v>110</v>
      </c>
      <c r="K79" s="60">
        <v>130</v>
      </c>
      <c r="L79" s="60">
        <v>150</v>
      </c>
      <c r="M79" s="60">
        <v>170</v>
      </c>
      <c r="N79" s="60">
        <v>180</v>
      </c>
      <c r="O79" s="60">
        <v>190</v>
      </c>
      <c r="P79" s="60">
        <v>1120</v>
      </c>
      <c r="Q79" s="64"/>
      <c r="R79" s="64"/>
      <c r="S79" s="59" t="s">
        <v>261</v>
      </c>
      <c r="U79" s="53"/>
      <c r="V79" s="53"/>
      <c r="W79" s="53"/>
      <c r="X79" s="53"/>
      <c r="Y79" s="53"/>
      <c r="Z79" s="53"/>
      <c r="AA79" s="53"/>
      <c r="AB79" s="53"/>
      <c r="AC79" s="53"/>
      <c r="AD79" s="53"/>
      <c r="AE79" s="53"/>
      <c r="AF79" s="53"/>
      <c r="AG79" s="53"/>
    </row>
    <row r="80" spans="2:33" ht="15" customHeight="1" x14ac:dyDescent="0.25">
      <c r="B80" s="135" t="str">
        <f>HYPERLINK("https://www.pbo.gov.au/elections/2025-general-election/2025-election-commitments-costings/building-better-regions-fund", "ECR-2025-2579")</f>
        <v>ECR-2025-2579</v>
      </c>
      <c r="C80" s="59" t="s">
        <v>166</v>
      </c>
      <c r="D80" s="60">
        <v>-125</v>
      </c>
      <c r="E80" s="60">
        <v>-125</v>
      </c>
      <c r="F80" s="60">
        <v>0</v>
      </c>
      <c r="G80" s="60">
        <v>0</v>
      </c>
      <c r="H80" s="60">
        <v>0</v>
      </c>
      <c r="I80" s="60">
        <v>0</v>
      </c>
      <c r="J80" s="60">
        <v>0</v>
      </c>
      <c r="K80" s="60">
        <v>0</v>
      </c>
      <c r="L80" s="60">
        <v>0</v>
      </c>
      <c r="M80" s="60">
        <v>0</v>
      </c>
      <c r="N80" s="60">
        <v>0</v>
      </c>
      <c r="O80" s="60">
        <v>-250</v>
      </c>
      <c r="P80" s="60">
        <v>-250</v>
      </c>
      <c r="Q80" s="64"/>
      <c r="R80" s="64"/>
      <c r="S80" s="59" t="s">
        <v>319</v>
      </c>
      <c r="U80" s="53"/>
      <c r="V80" s="53"/>
      <c r="W80" s="53"/>
      <c r="X80" s="53"/>
      <c r="Y80" s="53"/>
      <c r="Z80" s="53"/>
      <c r="AA80" s="53"/>
      <c r="AB80" s="53"/>
      <c r="AC80" s="53"/>
      <c r="AD80" s="53"/>
      <c r="AE80" s="53"/>
      <c r="AF80" s="53"/>
      <c r="AG80" s="53"/>
    </row>
    <row r="81" spans="2:33" ht="15" customHeight="1" x14ac:dyDescent="0.25">
      <c r="B81" s="135" t="str">
        <f>HYPERLINK("https://www.pbo.gov.au/elections/2025-general-election/2025-election-commitments-costings/canberra-entertainment-infrastructure-redirect", "ECR-2025-2075")</f>
        <v>ECR-2025-2075</v>
      </c>
      <c r="C81" s="59" t="s">
        <v>209</v>
      </c>
      <c r="D81" s="60">
        <v>12.6</v>
      </c>
      <c r="E81" s="60">
        <v>13</v>
      </c>
      <c r="F81" s="60">
        <v>28</v>
      </c>
      <c r="G81" s="60">
        <v>48.4</v>
      </c>
      <c r="H81" s="60">
        <v>0</v>
      </c>
      <c r="I81" s="60">
        <v>0</v>
      </c>
      <c r="J81" s="60">
        <v>0</v>
      </c>
      <c r="K81" s="60">
        <v>0</v>
      </c>
      <c r="L81" s="60">
        <v>0</v>
      </c>
      <c r="M81" s="60">
        <v>0</v>
      </c>
      <c r="N81" s="60">
        <v>0</v>
      </c>
      <c r="O81" s="60">
        <v>102</v>
      </c>
      <c r="P81" s="60">
        <v>102</v>
      </c>
      <c r="Q81" s="61"/>
      <c r="R81" s="61"/>
      <c r="S81" s="59" t="s">
        <v>261</v>
      </c>
      <c r="U81" s="53"/>
      <c r="V81" s="53"/>
      <c r="W81" s="53"/>
      <c r="X81" s="53"/>
      <c r="Y81" s="53"/>
      <c r="Z81" s="53"/>
      <c r="AA81" s="53"/>
      <c r="AB81" s="53"/>
      <c r="AC81" s="53"/>
      <c r="AD81" s="53"/>
      <c r="AE81" s="53"/>
      <c r="AF81" s="53"/>
      <c r="AG81" s="53"/>
    </row>
    <row r="82" spans="2:33" ht="15" customHeight="1" x14ac:dyDescent="0.25">
      <c r="B82" s="59" t="s">
        <v>120</v>
      </c>
      <c r="C82" s="59" t="s">
        <v>397</v>
      </c>
      <c r="D82" s="60">
        <v>0</v>
      </c>
      <c r="E82" s="60">
        <v>0</v>
      </c>
      <c r="F82" s="60">
        <v>0</v>
      </c>
      <c r="G82" s="60">
        <v>0</v>
      </c>
      <c r="H82" s="60">
        <v>0</v>
      </c>
      <c r="I82" s="60">
        <v>0</v>
      </c>
      <c r="J82" s="60">
        <v>0</v>
      </c>
      <c r="K82" s="60">
        <v>0</v>
      </c>
      <c r="L82" s="60">
        <v>0</v>
      </c>
      <c r="M82" s="60">
        <v>0</v>
      </c>
      <c r="N82" s="60">
        <v>0</v>
      </c>
      <c r="O82" s="60">
        <v>0</v>
      </c>
      <c r="P82" s="60">
        <v>0</v>
      </c>
      <c r="Q82" s="61"/>
      <c r="R82" s="61"/>
      <c r="S82" s="59" t="s">
        <v>261</v>
      </c>
      <c r="U82" s="53"/>
      <c r="V82" s="53"/>
      <c r="W82" s="53"/>
      <c r="X82" s="53"/>
      <c r="Y82" s="53"/>
      <c r="Z82" s="53"/>
      <c r="AA82" s="53"/>
      <c r="AB82" s="53"/>
      <c r="AC82" s="53"/>
      <c r="AD82" s="53"/>
      <c r="AE82" s="53"/>
      <c r="AF82" s="53"/>
      <c r="AG82" s="53"/>
    </row>
    <row r="83" spans="2:33" ht="15" customHeight="1" x14ac:dyDescent="0.25">
      <c r="B83" s="135" t="str">
        <f>HYPERLINK("https://www.pbo.gov.au/elections/2025-general-election/2025-election-commitments-costings/Establishing%2012%20new%20Australian%20Technical%20Colleges", "ECR-2025-2067")</f>
        <v>ECR-2025-2067</v>
      </c>
      <c r="C83" s="59" t="s">
        <v>424</v>
      </c>
      <c r="D83" s="60">
        <v>-125.8</v>
      </c>
      <c r="E83" s="60">
        <v>-130.19999999999999</v>
      </c>
      <c r="F83" s="60">
        <v>-2.2999999999999998</v>
      </c>
      <c r="G83" s="60">
        <v>-2.4</v>
      </c>
      <c r="H83" s="60">
        <v>-2.5</v>
      </c>
      <c r="I83" s="60">
        <v>-2.6</v>
      </c>
      <c r="J83" s="60">
        <v>-2.6</v>
      </c>
      <c r="K83" s="60">
        <v>-2.7</v>
      </c>
      <c r="L83" s="60">
        <v>-2.8</v>
      </c>
      <c r="M83" s="60">
        <v>-2.9</v>
      </c>
      <c r="N83" s="60">
        <v>-3</v>
      </c>
      <c r="O83" s="60">
        <v>-260.7</v>
      </c>
      <c r="P83" s="60">
        <v>-279.8</v>
      </c>
      <c r="Q83" s="61"/>
      <c r="R83" s="61"/>
      <c r="S83" s="59" t="s">
        <v>320</v>
      </c>
      <c r="U83" s="53"/>
      <c r="V83" s="53"/>
      <c r="W83" s="53"/>
      <c r="X83" s="53"/>
      <c r="Y83" s="53"/>
      <c r="Z83" s="53"/>
      <c r="AA83" s="53"/>
      <c r="AB83" s="53"/>
      <c r="AC83" s="53"/>
      <c r="AD83" s="53"/>
      <c r="AE83" s="53"/>
      <c r="AF83" s="53"/>
      <c r="AG83" s="53"/>
    </row>
    <row r="84" spans="2:33" ht="15" customHeight="1" x14ac:dyDescent="0.25">
      <c r="B84" s="135" t="str">
        <f>HYPERLINK("https://www.pbo.gov.au/elections/2025-general-election/2025-election-commitments-costings/Fee%20free%20TAFE%20%E2%80%93%20redirect", "ECR-2025-2120")</f>
        <v>ECR-2025-2120</v>
      </c>
      <c r="C84" s="59" t="s">
        <v>425</v>
      </c>
      <c r="D84" s="60">
        <v>0</v>
      </c>
      <c r="E84" s="60">
        <v>83</v>
      </c>
      <c r="F84" s="60">
        <v>171</v>
      </c>
      <c r="G84" s="60">
        <v>177</v>
      </c>
      <c r="H84" s="60">
        <v>183</v>
      </c>
      <c r="I84" s="60">
        <v>189</v>
      </c>
      <c r="J84" s="60">
        <v>196</v>
      </c>
      <c r="K84" s="60">
        <v>202</v>
      </c>
      <c r="L84" s="60">
        <v>209</v>
      </c>
      <c r="M84" s="60">
        <v>216</v>
      </c>
      <c r="N84" s="60">
        <v>223</v>
      </c>
      <c r="O84" s="60">
        <v>431</v>
      </c>
      <c r="P84" s="60">
        <v>1849</v>
      </c>
      <c r="Q84" s="61"/>
      <c r="R84" s="61"/>
      <c r="S84" s="59" t="s">
        <v>261</v>
      </c>
      <c r="U84" s="53"/>
      <c r="V84" s="53"/>
      <c r="W84" s="53"/>
      <c r="X84" s="53"/>
      <c r="Y84" s="53"/>
      <c r="Z84" s="53"/>
      <c r="AA84" s="53"/>
      <c r="AB84" s="53"/>
      <c r="AC84" s="53"/>
      <c r="AD84" s="53"/>
      <c r="AE84" s="53"/>
      <c r="AF84" s="53"/>
      <c r="AG84" s="53"/>
    </row>
    <row r="85" spans="2:33" ht="15" customHeight="1" x14ac:dyDescent="0.25">
      <c r="B85" s="135" t="str">
        <f>HYPERLINK("https://www.pbo.gov.au/elections/2025-general-election/2025-election-commitments-costings/First%20Home%20Buyer%20Mortgage%20Tax%20Deductibility%20Scheme", "ECR-2025-2072")</f>
        <v>ECR-2025-2072</v>
      </c>
      <c r="C85" s="59" t="s">
        <v>253</v>
      </c>
      <c r="D85" s="60">
        <v>-7.3</v>
      </c>
      <c r="E85" s="60">
        <v>-195.9</v>
      </c>
      <c r="F85" s="60">
        <v>-595.4</v>
      </c>
      <c r="G85" s="60">
        <v>-973.2</v>
      </c>
      <c r="H85" s="60">
        <v>-1213.3</v>
      </c>
      <c r="I85" s="60">
        <v>-1433.3</v>
      </c>
      <c r="J85" s="60">
        <v>-1633.3</v>
      </c>
      <c r="K85" s="60">
        <v>-1723.4</v>
      </c>
      <c r="L85" s="60">
        <v>-1813.4</v>
      </c>
      <c r="M85" s="60">
        <v>-1893.5</v>
      </c>
      <c r="N85" s="60">
        <v>-1933.5</v>
      </c>
      <c r="O85" s="60">
        <v>-1771.8</v>
      </c>
      <c r="P85" s="60">
        <v>-13415.5</v>
      </c>
      <c r="Q85" s="64"/>
      <c r="R85" s="64"/>
      <c r="S85" s="59" t="s">
        <v>321</v>
      </c>
      <c r="U85" s="53"/>
      <c r="V85" s="53"/>
      <c r="W85" s="53"/>
      <c r="X85" s="53"/>
      <c r="Y85" s="53"/>
      <c r="Z85" s="53"/>
      <c r="AA85" s="53"/>
      <c r="AB85" s="53"/>
      <c r="AC85" s="53"/>
      <c r="AD85" s="53"/>
      <c r="AE85" s="53"/>
      <c r="AF85" s="53"/>
      <c r="AG85" s="53"/>
    </row>
    <row r="86" spans="2:33" ht="15" customHeight="1" x14ac:dyDescent="0.25">
      <c r="B86" s="135" t="str">
        <f>HYPERLINK("https://www.pbo.gov.au/elections/2025-general-election/2025-election-commitments-costings/help-buy-scheme-reverse", "ECR-2025-2213")</f>
        <v>ECR-2025-2213</v>
      </c>
      <c r="C86" s="59" t="s">
        <v>242</v>
      </c>
      <c r="D86" s="60">
        <v>34</v>
      </c>
      <c r="E86" s="60">
        <v>100.1</v>
      </c>
      <c r="F86" s="60">
        <v>174.2</v>
      </c>
      <c r="G86" s="60">
        <v>252.4</v>
      </c>
      <c r="H86" s="60">
        <v>304.5</v>
      </c>
      <c r="I86" s="60">
        <v>323.60000000000002</v>
      </c>
      <c r="J86" s="60">
        <v>338.7</v>
      </c>
      <c r="K86" s="60">
        <v>353.9</v>
      </c>
      <c r="L86" s="60">
        <v>365</v>
      </c>
      <c r="M86" s="60">
        <v>372.1</v>
      </c>
      <c r="N86" s="60">
        <v>380.3</v>
      </c>
      <c r="O86" s="60">
        <v>560.70000000000005</v>
      </c>
      <c r="P86" s="60">
        <v>2998.8</v>
      </c>
      <c r="Q86" s="64"/>
      <c r="R86" s="64"/>
      <c r="S86" s="59" t="s">
        <v>261</v>
      </c>
      <c r="U86" s="53"/>
      <c r="V86" s="53"/>
      <c r="W86" s="53"/>
      <c r="X86" s="53"/>
      <c r="Y86" s="53"/>
      <c r="Z86" s="53"/>
      <c r="AA86" s="53"/>
      <c r="AB86" s="53"/>
      <c r="AC86" s="53"/>
      <c r="AD86" s="53"/>
      <c r="AE86" s="53"/>
      <c r="AF86" s="53"/>
      <c r="AG86" s="53"/>
    </row>
    <row r="87" spans="2:33" ht="15" customHeight="1" x14ac:dyDescent="0.25">
      <c r="B87" s="135" t="str">
        <f>HYPERLINK("https://www.pbo.gov.au/elections/2025-general-election/2025-election-commitments-costings/home-guarantee-scheme-expanding-access", "ECR-2025-2109")</f>
        <v>ECR-2025-2109</v>
      </c>
      <c r="C87" s="59" t="s">
        <v>206</v>
      </c>
      <c r="D87" s="60">
        <v>-16.899999999999999</v>
      </c>
      <c r="E87" s="60">
        <v>-17.600000000000001</v>
      </c>
      <c r="F87" s="60">
        <v>-19.2</v>
      </c>
      <c r="G87" s="60">
        <v>-20.5</v>
      </c>
      <c r="H87" s="60">
        <v>-25.2</v>
      </c>
      <c r="I87" s="60">
        <v>-25.6</v>
      </c>
      <c r="J87" s="60">
        <v>-25.9</v>
      </c>
      <c r="K87" s="60">
        <v>-26.2</v>
      </c>
      <c r="L87" s="60">
        <v>-26.3</v>
      </c>
      <c r="M87" s="60">
        <v>-26.4</v>
      </c>
      <c r="N87" s="60">
        <v>-26.6</v>
      </c>
      <c r="O87" s="60">
        <v>-74.2</v>
      </c>
      <c r="P87" s="60">
        <v>-256.39999999999998</v>
      </c>
      <c r="Q87" s="61"/>
      <c r="R87" s="61"/>
      <c r="S87" s="59" t="s">
        <v>261</v>
      </c>
      <c r="U87" s="53"/>
      <c r="V87" s="53"/>
      <c r="W87" s="53"/>
      <c r="X87" s="53"/>
      <c r="Y87" s="53"/>
      <c r="Z87" s="53"/>
      <c r="AA87" s="53"/>
      <c r="AB87" s="53"/>
      <c r="AC87" s="53"/>
      <c r="AD87" s="53"/>
      <c r="AE87" s="53"/>
      <c r="AF87" s="53"/>
      <c r="AG87" s="53"/>
    </row>
    <row r="88" spans="2:33" ht="15" customHeight="1" x14ac:dyDescent="0.25">
      <c r="B88" s="135" t="str">
        <f>HYPERLINK("https://www.pbo.gov.au/elections/2025-general-election/2025-election-commitments-costings/housing-australia-future-fund-unwind", "ECR-2025-2184")</f>
        <v>ECR-2025-2184</v>
      </c>
      <c r="C88" s="59" t="s">
        <v>168</v>
      </c>
      <c r="D88" s="60">
        <v>578.9</v>
      </c>
      <c r="E88" s="60">
        <v>655.1</v>
      </c>
      <c r="F88" s="60">
        <v>685.1</v>
      </c>
      <c r="G88" s="60">
        <v>710.2</v>
      </c>
      <c r="H88" s="60">
        <v>754.2</v>
      </c>
      <c r="I88" s="60">
        <v>800.2</v>
      </c>
      <c r="J88" s="60">
        <v>850.2</v>
      </c>
      <c r="K88" s="60">
        <v>905.1</v>
      </c>
      <c r="L88" s="60">
        <v>962</v>
      </c>
      <c r="M88" s="60">
        <v>1021.8</v>
      </c>
      <c r="N88" s="60">
        <v>1101.5</v>
      </c>
      <c r="O88" s="60">
        <v>2629.3</v>
      </c>
      <c r="P88" s="60">
        <v>9024.2999999999993</v>
      </c>
      <c r="Q88" s="61"/>
      <c r="R88" s="61"/>
      <c r="S88" s="59" t="s">
        <v>322</v>
      </c>
      <c r="U88" s="53"/>
      <c r="V88" s="53"/>
      <c r="W88" s="53"/>
      <c r="X88" s="53"/>
      <c r="Y88" s="53"/>
      <c r="Z88" s="53"/>
      <c r="AA88" s="53"/>
      <c r="AB88" s="53"/>
      <c r="AC88" s="53"/>
      <c r="AD88" s="53"/>
      <c r="AE88" s="53"/>
      <c r="AF88" s="53"/>
      <c r="AG88" s="53"/>
    </row>
    <row r="89" spans="2:33" ht="15" customHeight="1" x14ac:dyDescent="0.25">
      <c r="B89" s="135" t="str">
        <f>HYPERLINK("https://www.pbo.gov.au/elections/2025-general-election/2025-election-commitments-costings/housing-infrastructure-program", "ECR-2025-2862")</f>
        <v>ECR-2025-2862</v>
      </c>
      <c r="C89" s="59" t="s">
        <v>212</v>
      </c>
      <c r="D89" s="60">
        <v>-372.1</v>
      </c>
      <c r="E89" s="60">
        <v>-734.1</v>
      </c>
      <c r="F89" s="60">
        <v>-749.3</v>
      </c>
      <c r="G89" s="60">
        <v>-772.3</v>
      </c>
      <c r="H89" s="60">
        <v>-434.9</v>
      </c>
      <c r="I89" s="60">
        <v>-95</v>
      </c>
      <c r="J89" s="60">
        <v>-111.3</v>
      </c>
      <c r="K89" s="60">
        <v>-122.8</v>
      </c>
      <c r="L89" s="60">
        <v>-131.80000000000001</v>
      </c>
      <c r="M89" s="60">
        <v>-139.80000000000001</v>
      </c>
      <c r="N89" s="60">
        <v>-149.6</v>
      </c>
      <c r="O89" s="60">
        <v>-2627.8</v>
      </c>
      <c r="P89" s="60">
        <v>-3813</v>
      </c>
      <c r="Q89" s="61"/>
      <c r="R89" s="61"/>
      <c r="S89" s="59" t="s">
        <v>323</v>
      </c>
      <c r="U89" s="53"/>
      <c r="V89" s="53"/>
      <c r="W89" s="53"/>
      <c r="X89" s="53"/>
      <c r="Y89" s="53"/>
      <c r="Z89" s="53"/>
      <c r="AA89" s="53"/>
      <c r="AB89" s="53"/>
      <c r="AC89" s="53"/>
      <c r="AD89" s="53"/>
      <c r="AE89" s="53"/>
      <c r="AF89" s="53"/>
      <c r="AG89" s="53"/>
    </row>
    <row r="90" spans="2:33" ht="15" customHeight="1" x14ac:dyDescent="0.25">
      <c r="B90" s="135" t="str">
        <f>HYPERLINK("https://www.pbo.gov.au/elections/2025-general-election/2025-election-commitments-costings/Increase%20selected%20non-student%20visa%20charges", "ECR-2025-2242")</f>
        <v>ECR-2025-2242</v>
      </c>
      <c r="C90" s="59" t="s">
        <v>363</v>
      </c>
      <c r="D90" s="60">
        <v>109</v>
      </c>
      <c r="E90" s="60">
        <v>118</v>
      </c>
      <c r="F90" s="60">
        <v>127</v>
      </c>
      <c r="G90" s="60">
        <v>130</v>
      </c>
      <c r="H90" s="60">
        <v>133</v>
      </c>
      <c r="I90" s="60">
        <v>137</v>
      </c>
      <c r="J90" s="60">
        <v>140</v>
      </c>
      <c r="K90" s="60">
        <v>144</v>
      </c>
      <c r="L90" s="60">
        <v>147</v>
      </c>
      <c r="M90" s="60">
        <v>151</v>
      </c>
      <c r="N90" s="60">
        <v>154</v>
      </c>
      <c r="O90" s="60">
        <v>484</v>
      </c>
      <c r="P90" s="60">
        <v>1490</v>
      </c>
      <c r="Q90" s="61"/>
      <c r="R90" s="61"/>
      <c r="S90" s="59" t="s">
        <v>261</v>
      </c>
      <c r="U90" s="53"/>
      <c r="V90" s="53"/>
      <c r="W90" s="53"/>
      <c r="X90" s="53"/>
      <c r="Y90" s="53"/>
      <c r="Z90" s="53"/>
      <c r="AA90" s="53"/>
      <c r="AB90" s="53"/>
      <c r="AC90" s="53"/>
      <c r="AD90" s="53"/>
      <c r="AE90" s="53"/>
      <c r="AF90" s="53"/>
      <c r="AG90" s="53"/>
    </row>
    <row r="91" spans="2:33" ht="15" customHeight="1" x14ac:dyDescent="0.25">
      <c r="B91" s="135" t="str">
        <f>HYPERLINK("https://www.pbo.gov.au/elections/2025-general-election/2025-election-commitments-costings/Local-Roads-and-Community-Infrastructure-Program", "ECR-2025-2453")</f>
        <v>ECR-2025-2453</v>
      </c>
      <c r="C91" s="59" t="s">
        <v>241</v>
      </c>
      <c r="D91" s="60">
        <v>-400</v>
      </c>
      <c r="E91" s="60">
        <v>-400</v>
      </c>
      <c r="F91" s="60">
        <v>-200</v>
      </c>
      <c r="G91" s="60">
        <v>0</v>
      </c>
      <c r="H91" s="60">
        <v>0</v>
      </c>
      <c r="I91" s="60">
        <v>0</v>
      </c>
      <c r="J91" s="60">
        <v>0</v>
      </c>
      <c r="K91" s="60">
        <v>0</v>
      </c>
      <c r="L91" s="60">
        <v>0</v>
      </c>
      <c r="M91" s="60">
        <v>0</v>
      </c>
      <c r="N91" s="60">
        <v>0</v>
      </c>
      <c r="O91" s="60">
        <v>-1000</v>
      </c>
      <c r="P91" s="60">
        <v>-1000</v>
      </c>
      <c r="Q91" s="61"/>
      <c r="R91" s="61"/>
      <c r="S91" s="59" t="s">
        <v>324</v>
      </c>
      <c r="U91" s="53"/>
      <c r="V91" s="53"/>
      <c r="W91" s="53"/>
      <c r="X91" s="53"/>
      <c r="Y91" s="53"/>
      <c r="Z91" s="53"/>
      <c r="AA91" s="53"/>
      <c r="AB91" s="53"/>
      <c r="AC91" s="53"/>
      <c r="AD91" s="53"/>
      <c r="AE91" s="53"/>
      <c r="AF91" s="53"/>
      <c r="AG91" s="53"/>
    </row>
    <row r="92" spans="2:33" ht="15" customHeight="1" x14ac:dyDescent="0.25">
      <c r="B92" s="135" t="str">
        <f>HYPERLINK("https://www.pbo.gov.au/elections/2025-general-election/2025-election-commitments-costings/Modify%20Commonwealth%20Prac%20Payments", "ECR-2025-2599")</f>
        <v>ECR-2025-2599</v>
      </c>
      <c r="C92" s="59" t="s">
        <v>364</v>
      </c>
      <c r="D92" s="60">
        <v>78.599999999999994</v>
      </c>
      <c r="E92" s="60">
        <v>96</v>
      </c>
      <c r="F92" s="60">
        <v>113.7</v>
      </c>
      <c r="G92" s="60">
        <v>121</v>
      </c>
      <c r="H92" s="60">
        <v>128.30000000000001</v>
      </c>
      <c r="I92" s="60">
        <v>135.69999999999999</v>
      </c>
      <c r="J92" s="60">
        <v>143</v>
      </c>
      <c r="K92" s="60">
        <v>150.1</v>
      </c>
      <c r="L92" s="60">
        <v>157.1</v>
      </c>
      <c r="M92" s="60">
        <v>165</v>
      </c>
      <c r="N92" s="60">
        <v>171.6</v>
      </c>
      <c r="O92" s="60">
        <v>409.3</v>
      </c>
      <c r="P92" s="60">
        <v>1460.1</v>
      </c>
      <c r="Q92" s="61"/>
      <c r="R92" s="61"/>
      <c r="S92" s="59" t="s">
        <v>261</v>
      </c>
      <c r="U92" s="53"/>
      <c r="V92" s="53"/>
      <c r="W92" s="53"/>
      <c r="X92" s="53"/>
      <c r="Y92" s="53"/>
      <c r="Z92" s="53"/>
      <c r="AA92" s="53"/>
      <c r="AB92" s="53"/>
      <c r="AC92" s="53"/>
      <c r="AD92" s="53"/>
      <c r="AE92" s="53"/>
      <c r="AF92" s="53"/>
      <c r="AG92" s="53"/>
    </row>
    <row r="93" spans="2:33" ht="15" customHeight="1" x14ac:dyDescent="0.25">
      <c r="B93" s="135" t="str">
        <f>HYPERLINK("https://www.pbo.gov.au/elections/2025-general-election/2025-election-commitments-costings/New%20Homes%20Bonus%20-%20reverse", "ECR-2025-2494")</f>
        <v>ECR-2025-2494</v>
      </c>
      <c r="C93" s="59" t="s">
        <v>165</v>
      </c>
      <c r="D93" s="60">
        <v>0</v>
      </c>
      <c r="E93" s="60">
        <v>0</v>
      </c>
      <c r="F93" s="60">
        <v>0</v>
      </c>
      <c r="G93" s="60">
        <v>0</v>
      </c>
      <c r="H93" s="60">
        <v>3000</v>
      </c>
      <c r="I93" s="60">
        <v>0</v>
      </c>
      <c r="J93" s="60">
        <v>0</v>
      </c>
      <c r="K93" s="60">
        <v>0</v>
      </c>
      <c r="L93" s="60">
        <v>0</v>
      </c>
      <c r="M93" s="60">
        <v>0</v>
      </c>
      <c r="N93" s="60">
        <v>0</v>
      </c>
      <c r="O93" s="60">
        <v>0</v>
      </c>
      <c r="P93" s="60">
        <v>3000</v>
      </c>
      <c r="Q93" s="61"/>
      <c r="R93" s="61"/>
      <c r="S93" s="59" t="s">
        <v>261</v>
      </c>
      <c r="U93" s="53"/>
      <c r="V93" s="53"/>
      <c r="W93" s="53"/>
      <c r="X93" s="53"/>
      <c r="Y93" s="53"/>
      <c r="Z93" s="53"/>
      <c r="AA93" s="53"/>
      <c r="AB93" s="53"/>
      <c r="AC93" s="53"/>
      <c r="AD93" s="53"/>
      <c r="AE93" s="53"/>
      <c r="AF93" s="53"/>
      <c r="AG93" s="53"/>
    </row>
    <row r="94" spans="2:33" ht="15" customHeight="1" x14ac:dyDescent="0.25">
      <c r="B94" s="135" t="str">
        <f>HYPERLINK("https://www.pbo.gov.au/elections/2025-general-election/2025-election-commitments-costings/new-overseas-student-commencements-reduction", "ECR-2025-2280")</f>
        <v>ECR-2025-2280</v>
      </c>
      <c r="C94" s="59" t="s">
        <v>365</v>
      </c>
      <c r="D94" s="60">
        <v>-27</v>
      </c>
      <c r="E94" s="60">
        <v>-97</v>
      </c>
      <c r="F94" s="60">
        <v>-152</v>
      </c>
      <c r="G94" s="60">
        <v>-167</v>
      </c>
      <c r="H94" s="60">
        <v>-180</v>
      </c>
      <c r="I94" s="60">
        <v>-193</v>
      </c>
      <c r="J94" s="60">
        <v>-206</v>
      </c>
      <c r="K94" s="60">
        <v>-220</v>
      </c>
      <c r="L94" s="60">
        <v>-235</v>
      </c>
      <c r="M94" s="60">
        <v>-251</v>
      </c>
      <c r="N94" s="60">
        <v>-268</v>
      </c>
      <c r="O94" s="60">
        <v>-443</v>
      </c>
      <c r="P94" s="60">
        <v>-1996</v>
      </c>
      <c r="Q94" s="61"/>
      <c r="R94" s="61"/>
      <c r="S94" s="59" t="s">
        <v>368</v>
      </c>
      <c r="U94" s="53"/>
      <c r="V94" s="53"/>
      <c r="W94" s="53"/>
      <c r="X94" s="53"/>
      <c r="Y94" s="53"/>
      <c r="Z94" s="53"/>
      <c r="AA94" s="53"/>
      <c r="AB94" s="53"/>
      <c r="AC94" s="53"/>
      <c r="AD94" s="53"/>
      <c r="AE94" s="53"/>
      <c r="AF94" s="53"/>
      <c r="AG94" s="53"/>
    </row>
    <row r="95" spans="2:33" ht="15" customHeight="1" x14ac:dyDescent="0.25">
      <c r="B95" s="135" t="str">
        <f>HYPERLINK("https://www.pbo.gov.au/elections/2025-general-election/2025-election-commitments-costings/Newly%20arrived%20migrant%20waiting%20period%20%E2%80%93%20rationalise%20to%205%20years", "ECR-2025-2126")</f>
        <v>ECR-2025-2126</v>
      </c>
      <c r="C95" s="59" t="s">
        <v>240</v>
      </c>
      <c r="D95" s="60">
        <v>49.4</v>
      </c>
      <c r="E95" s="60">
        <v>315.89999999999998</v>
      </c>
      <c r="F95" s="60">
        <v>813.4</v>
      </c>
      <c r="G95" s="60">
        <v>1404.9</v>
      </c>
      <c r="H95" s="60">
        <v>2023.2</v>
      </c>
      <c r="I95" s="60">
        <v>2275</v>
      </c>
      <c r="J95" s="60">
        <v>2201.5</v>
      </c>
      <c r="K95" s="60">
        <v>2096.9</v>
      </c>
      <c r="L95" s="60">
        <v>1907.9</v>
      </c>
      <c r="M95" s="60">
        <v>1991.8</v>
      </c>
      <c r="N95" s="60">
        <v>2031.3</v>
      </c>
      <c r="O95" s="60">
        <v>2583.6</v>
      </c>
      <c r="P95" s="60">
        <v>17111.2</v>
      </c>
      <c r="Q95" s="61"/>
      <c r="R95" s="61"/>
      <c r="S95" s="59" t="s">
        <v>261</v>
      </c>
      <c r="U95" s="53"/>
      <c r="V95" s="53"/>
      <c r="W95" s="53"/>
      <c r="X95" s="53"/>
      <c r="Y95" s="53"/>
      <c r="Z95" s="53"/>
      <c r="AA95" s="53"/>
      <c r="AB95" s="53"/>
      <c r="AC95" s="53"/>
      <c r="AD95" s="53"/>
      <c r="AE95" s="53"/>
      <c r="AF95" s="53"/>
      <c r="AG95" s="53"/>
    </row>
    <row r="96" spans="2:33" ht="15" customHeight="1" x14ac:dyDescent="0.25">
      <c r="B96" s="135" t="str">
        <f>HYPERLINK("https://www.pbo.gov.au/elections/2025-general-election/2025-election-commitments-costings/Permanent-migration-program-reduction", "ECR-2025-2038")</f>
        <v>ECR-2025-2038</v>
      </c>
      <c r="C96" s="59" t="s">
        <v>366</v>
      </c>
      <c r="D96" s="60">
        <v>-309</v>
      </c>
      <c r="E96" s="60">
        <v>-625</v>
      </c>
      <c r="F96" s="60">
        <v>-1040</v>
      </c>
      <c r="G96" s="60">
        <v>-1412</v>
      </c>
      <c r="H96" s="60">
        <v>-1725</v>
      </c>
      <c r="I96" s="60">
        <v>-2048</v>
      </c>
      <c r="J96" s="60">
        <v>-2392</v>
      </c>
      <c r="K96" s="60">
        <v>-2785</v>
      </c>
      <c r="L96" s="60">
        <v>-3229</v>
      </c>
      <c r="M96" s="60">
        <v>-3703</v>
      </c>
      <c r="N96" s="60">
        <v>-4306</v>
      </c>
      <c r="O96" s="60">
        <v>-3386</v>
      </c>
      <c r="P96" s="60">
        <v>-23574</v>
      </c>
      <c r="Q96" s="61"/>
      <c r="R96" s="61"/>
      <c r="S96" s="59" t="s">
        <v>369</v>
      </c>
      <c r="U96" s="53"/>
      <c r="V96" s="53"/>
      <c r="W96" s="53"/>
      <c r="X96" s="53"/>
      <c r="Y96" s="53"/>
      <c r="Z96" s="53"/>
      <c r="AA96" s="53"/>
      <c r="AB96" s="53"/>
      <c r="AC96" s="53"/>
      <c r="AD96" s="53"/>
      <c r="AE96" s="53"/>
      <c r="AF96" s="53"/>
      <c r="AG96" s="53"/>
    </row>
    <row r="97" spans="2:37" ht="15" customHeight="1" x14ac:dyDescent="0.25">
      <c r="B97" s="135" t="str">
        <f>HYPERLINK("https://www.pbo.gov.au/elections/2025-general-election/2025-election-commitments-costings/Queensland%20Beef%20Corridors", "ECR-2025-2490")</f>
        <v>ECR-2025-2490</v>
      </c>
      <c r="C97" s="59" t="s">
        <v>254</v>
      </c>
      <c r="D97" s="60">
        <v>-50</v>
      </c>
      <c r="E97" s="60">
        <v>-16.7</v>
      </c>
      <c r="F97" s="60">
        <v>-16.7</v>
      </c>
      <c r="G97" s="60">
        <v>-16.7</v>
      </c>
      <c r="H97" s="60">
        <v>-80</v>
      </c>
      <c r="I97" s="60">
        <v>67.2</v>
      </c>
      <c r="J97" s="60">
        <v>60</v>
      </c>
      <c r="K97" s="60">
        <v>52.9</v>
      </c>
      <c r="L97" s="60">
        <v>0</v>
      </c>
      <c r="M97" s="60">
        <v>0</v>
      </c>
      <c r="N97" s="60">
        <v>0</v>
      </c>
      <c r="O97" s="60">
        <v>-100.1</v>
      </c>
      <c r="P97" s="60">
        <v>0</v>
      </c>
      <c r="Q97" s="61"/>
      <c r="R97" s="61"/>
      <c r="S97" s="59" t="s">
        <v>325</v>
      </c>
      <c r="U97" s="53"/>
      <c r="V97" s="53"/>
      <c r="W97" s="53"/>
      <c r="X97" s="53"/>
      <c r="Y97" s="53"/>
      <c r="Z97" s="53"/>
      <c r="AA97" s="53"/>
      <c r="AB97" s="53"/>
      <c r="AC97" s="53"/>
      <c r="AD97" s="53"/>
      <c r="AE97" s="53"/>
      <c r="AF97" s="53"/>
      <c r="AG97" s="53"/>
    </row>
    <row r="98" spans="2:37" ht="15" customHeight="1" x14ac:dyDescent="0.25">
      <c r="B98" s="135" t="str">
        <f>HYPERLINK("https://www.pbo.gov.au/elections/2025-general-election/2025-election-commitments-costings/rail-projects-increase-and-rephase", "ECR-2025-2257")</f>
        <v>ECR-2025-2257</v>
      </c>
      <c r="C98" s="59" t="s">
        <v>239</v>
      </c>
      <c r="D98" s="60">
        <v>364</v>
      </c>
      <c r="E98" s="60">
        <v>651.20000000000005</v>
      </c>
      <c r="F98" s="60">
        <v>850</v>
      </c>
      <c r="G98" s="60">
        <v>516.20000000000005</v>
      </c>
      <c r="H98" s="60">
        <v>295</v>
      </c>
      <c r="I98" s="60">
        <v>-1315</v>
      </c>
      <c r="J98" s="60">
        <v>-665</v>
      </c>
      <c r="K98" s="60">
        <v>-353.6</v>
      </c>
      <c r="L98" s="60">
        <v>-50</v>
      </c>
      <c r="M98" s="60">
        <v>-936.4</v>
      </c>
      <c r="N98" s="60">
        <v>0</v>
      </c>
      <c r="O98" s="60">
        <v>2381.4</v>
      </c>
      <c r="P98" s="60">
        <v>-643.6</v>
      </c>
      <c r="Q98" s="61"/>
      <c r="R98" s="61"/>
      <c r="S98" s="59" t="s">
        <v>261</v>
      </c>
      <c r="U98" s="53"/>
      <c r="V98" s="53"/>
      <c r="W98" s="53"/>
      <c r="X98" s="53"/>
      <c r="Y98" s="53"/>
      <c r="Z98" s="53"/>
      <c r="AA98" s="53"/>
      <c r="AB98" s="53"/>
      <c r="AC98" s="53"/>
      <c r="AD98" s="53"/>
      <c r="AE98" s="53"/>
      <c r="AF98" s="53"/>
      <c r="AG98" s="53"/>
    </row>
    <row r="99" spans="2:37" ht="15" customHeight="1" x14ac:dyDescent="0.25">
      <c r="B99" s="135" t="str">
        <f>HYPERLINK("https://www.pbo.gov.au/elections/2025-general-election/2025-election-commitments-costings/Regional%20Airports%20Program", "ECR-2025-2470")</f>
        <v>ECR-2025-2470</v>
      </c>
      <c r="C99" s="59" t="s">
        <v>211</v>
      </c>
      <c r="D99" s="60">
        <v>-10.199999999999999</v>
      </c>
      <c r="E99" s="60">
        <v>-35</v>
      </c>
      <c r="F99" s="60">
        <v>-43.5</v>
      </c>
      <c r="G99" s="60">
        <v>-44.5</v>
      </c>
      <c r="H99" s="60">
        <v>0</v>
      </c>
      <c r="I99" s="60">
        <v>0</v>
      </c>
      <c r="J99" s="60">
        <v>0</v>
      </c>
      <c r="K99" s="60">
        <v>0</v>
      </c>
      <c r="L99" s="60">
        <v>0</v>
      </c>
      <c r="M99" s="60">
        <v>0</v>
      </c>
      <c r="N99" s="60">
        <v>0</v>
      </c>
      <c r="O99" s="60">
        <v>-133.19999999999999</v>
      </c>
      <c r="P99" s="60">
        <v>-133.19999999999999</v>
      </c>
      <c r="Q99" s="61"/>
      <c r="R99" s="61"/>
      <c r="S99" s="59" t="s">
        <v>326</v>
      </c>
      <c r="U99" s="53"/>
      <c r="V99" s="53"/>
      <c r="W99" s="53"/>
      <c r="X99" s="53"/>
      <c r="Y99" s="53"/>
      <c r="Z99" s="53"/>
      <c r="AA99" s="53"/>
      <c r="AB99" s="53"/>
      <c r="AC99" s="53"/>
      <c r="AD99" s="53"/>
      <c r="AE99" s="53"/>
      <c r="AF99" s="53"/>
      <c r="AG99" s="53"/>
    </row>
    <row r="100" spans="2:37" ht="15" customHeight="1" x14ac:dyDescent="0.25">
      <c r="B100" s="135" t="str">
        <f>HYPERLINK("https://www.pbo.gov.au/elections/2025-general-election/2025-election-commitments-costings/Restore%20humanitarian%20program%20intake%20to%20long%20term%20average", "ECR-2025-2586")</f>
        <v>ECR-2025-2586</v>
      </c>
      <c r="C100" s="59" t="s">
        <v>208</v>
      </c>
      <c r="D100" s="60">
        <v>96.6</v>
      </c>
      <c r="E100" s="60">
        <v>311.89999999999998</v>
      </c>
      <c r="F100" s="60">
        <v>442.5</v>
      </c>
      <c r="G100" s="60">
        <v>540.20000000000005</v>
      </c>
      <c r="H100" s="60">
        <v>635.1</v>
      </c>
      <c r="I100" s="60">
        <v>718.1</v>
      </c>
      <c r="J100" s="60">
        <v>807.1</v>
      </c>
      <c r="K100" s="60">
        <v>874.2</v>
      </c>
      <c r="L100" s="60">
        <v>973.4</v>
      </c>
      <c r="M100" s="60">
        <v>1037.7</v>
      </c>
      <c r="N100" s="60">
        <v>1104.0999999999999</v>
      </c>
      <c r="O100" s="60">
        <v>1391.2</v>
      </c>
      <c r="P100" s="60">
        <v>7540.9</v>
      </c>
      <c r="Q100" s="61"/>
      <c r="R100" s="61"/>
      <c r="S100" s="59" t="s">
        <v>327</v>
      </c>
      <c r="U100" s="53"/>
      <c r="V100" s="53"/>
      <c r="W100" s="53"/>
      <c r="X100" s="53"/>
      <c r="Y100" s="53"/>
      <c r="Z100" s="53"/>
      <c r="AA100" s="53"/>
      <c r="AB100" s="53"/>
      <c r="AC100" s="53"/>
      <c r="AD100" s="53"/>
      <c r="AE100" s="53"/>
      <c r="AF100" s="53"/>
      <c r="AG100" s="53"/>
    </row>
    <row r="101" spans="2:37" ht="15" customHeight="1" x14ac:dyDescent="0.25">
      <c r="B101" s="135" t="str">
        <f>HYPERLINK("https://www.pbo.gov.au/elections/2025-general-election/2025-election-commitments-costings/restoring-australian-building-and-construction-commission", "ECR-2025-2246")</f>
        <v>ECR-2025-2246</v>
      </c>
      <c r="C101" s="59" t="s">
        <v>207</v>
      </c>
      <c r="D101" s="60">
        <v>-35.799999999999997</v>
      </c>
      <c r="E101" s="60">
        <v>-20.9</v>
      </c>
      <c r="F101" s="60">
        <v>-21.2</v>
      </c>
      <c r="G101" s="60">
        <v>-21.4</v>
      </c>
      <c r="H101" s="60">
        <v>-21.7</v>
      </c>
      <c r="I101" s="60">
        <v>-21.9</v>
      </c>
      <c r="J101" s="60">
        <v>-22.2</v>
      </c>
      <c r="K101" s="60">
        <v>-22.5</v>
      </c>
      <c r="L101" s="60">
        <v>-22.8</v>
      </c>
      <c r="M101" s="60">
        <v>-23</v>
      </c>
      <c r="N101" s="60">
        <v>-23.4</v>
      </c>
      <c r="O101" s="60">
        <v>-99.3</v>
      </c>
      <c r="P101" s="60">
        <v>-256.8</v>
      </c>
      <c r="Q101" s="61"/>
      <c r="R101" s="61"/>
      <c r="S101" s="59" t="s">
        <v>328</v>
      </c>
      <c r="U101" s="53"/>
      <c r="V101" s="53"/>
      <c r="W101" s="53"/>
      <c r="X101" s="53"/>
      <c r="Y101" s="53"/>
      <c r="Z101" s="53"/>
      <c r="AA101" s="53"/>
      <c r="AB101" s="53"/>
      <c r="AC101" s="53"/>
      <c r="AD101" s="53"/>
      <c r="AE101" s="53"/>
      <c r="AF101" s="53"/>
      <c r="AG101" s="53"/>
    </row>
    <row r="102" spans="2:37" ht="15" customHeight="1" x14ac:dyDescent="0.25">
      <c r="B102" s="135" t="str">
        <f>HYPERLINK("https://www.pbo.gov.au/elections/2025-general-election/2025-election-commitments-costings/roads-recovery-additional-investment", "ECR-2025-2576")</f>
        <v>ECR-2025-2576</v>
      </c>
      <c r="C102" s="59" t="s">
        <v>195</v>
      </c>
      <c r="D102" s="60">
        <v>-200</v>
      </c>
      <c r="E102" s="60">
        <v>-50</v>
      </c>
      <c r="F102" s="60">
        <v>0</v>
      </c>
      <c r="G102" s="60">
        <v>0</v>
      </c>
      <c r="H102" s="60">
        <v>0</v>
      </c>
      <c r="I102" s="60">
        <v>0</v>
      </c>
      <c r="J102" s="60">
        <v>0</v>
      </c>
      <c r="K102" s="60">
        <v>0</v>
      </c>
      <c r="L102" s="60">
        <v>0</v>
      </c>
      <c r="M102" s="60">
        <v>0</v>
      </c>
      <c r="N102" s="60">
        <v>0</v>
      </c>
      <c r="O102" s="60">
        <v>-250</v>
      </c>
      <c r="P102" s="60">
        <v>-250</v>
      </c>
      <c r="Q102" s="61"/>
      <c r="R102" s="61"/>
      <c r="S102" s="59" t="s">
        <v>261</v>
      </c>
      <c r="U102" s="53"/>
      <c r="V102" s="53"/>
      <c r="W102" s="53"/>
      <c r="X102" s="53"/>
      <c r="Y102" s="53"/>
      <c r="Z102" s="53"/>
      <c r="AA102" s="53"/>
      <c r="AB102" s="53"/>
      <c r="AC102" s="53"/>
      <c r="AD102" s="53"/>
      <c r="AE102" s="53"/>
      <c r="AF102" s="53"/>
      <c r="AG102" s="53"/>
    </row>
    <row r="103" spans="2:37" ht="15" customHeight="1" x14ac:dyDescent="0.25">
      <c r="B103" s="135" t="str">
        <f>HYPERLINK("https://www.pbo.gov.au/elections/2025-general-election/2025-election-commitments-costings/Safer%20Local%20Roads%20and%20Infrastructure%20Program%20%E2%80%93%20redirect", "ECR-2025-2512")</f>
        <v>ECR-2025-2512</v>
      </c>
      <c r="C103" s="59" t="s">
        <v>167</v>
      </c>
      <c r="D103" s="60">
        <v>200</v>
      </c>
      <c r="E103" s="60">
        <v>200</v>
      </c>
      <c r="F103" s="60">
        <v>205</v>
      </c>
      <c r="G103" s="60">
        <v>200</v>
      </c>
      <c r="H103" s="60">
        <v>200</v>
      </c>
      <c r="I103" s="60">
        <v>200</v>
      </c>
      <c r="J103" s="60">
        <v>200</v>
      </c>
      <c r="K103" s="60">
        <v>200</v>
      </c>
      <c r="L103" s="60">
        <v>200</v>
      </c>
      <c r="M103" s="60">
        <v>200</v>
      </c>
      <c r="N103" s="60">
        <v>200</v>
      </c>
      <c r="O103" s="60">
        <v>805</v>
      </c>
      <c r="P103" s="60">
        <v>2205</v>
      </c>
      <c r="Q103" s="61"/>
      <c r="R103" s="61"/>
      <c r="S103" s="59" t="s">
        <v>329</v>
      </c>
      <c r="U103" s="53"/>
      <c r="V103" s="53"/>
      <c r="W103" s="53"/>
      <c r="X103" s="53"/>
      <c r="Y103" s="53"/>
      <c r="Z103" s="53"/>
      <c r="AA103" s="53"/>
      <c r="AB103" s="53"/>
      <c r="AC103" s="53"/>
      <c r="AD103" s="53"/>
      <c r="AE103" s="53"/>
      <c r="AF103" s="53"/>
      <c r="AG103" s="53"/>
    </row>
    <row r="104" spans="2:37" ht="15" customHeight="1" x14ac:dyDescent="0.25">
      <c r="B104" s="135" t="str">
        <f>HYPERLINK("https://www.pbo.gov.au/elections/2025-general-election/2025-election-commitments-costings/suburban-rail-loop-not-proceeding", "ECR-2025-2600")</f>
        <v>ECR-2025-2600</v>
      </c>
      <c r="C104" s="59" t="s">
        <v>158</v>
      </c>
      <c r="D104" s="60">
        <v>800</v>
      </c>
      <c r="E104" s="60">
        <v>800</v>
      </c>
      <c r="F104" s="60">
        <v>600</v>
      </c>
      <c r="G104" s="60">
        <v>0</v>
      </c>
      <c r="H104" s="60">
        <v>0</v>
      </c>
      <c r="I104" s="60">
        <v>0</v>
      </c>
      <c r="J104" s="60">
        <v>0</v>
      </c>
      <c r="K104" s="60">
        <v>0</v>
      </c>
      <c r="L104" s="60">
        <v>0</v>
      </c>
      <c r="M104" s="60">
        <v>0</v>
      </c>
      <c r="N104" s="60">
        <v>0</v>
      </c>
      <c r="O104" s="60">
        <v>2200</v>
      </c>
      <c r="P104" s="60">
        <v>2200</v>
      </c>
      <c r="Q104" s="61"/>
      <c r="R104" s="61"/>
      <c r="S104" s="59" t="s">
        <v>311</v>
      </c>
      <c r="U104" s="53"/>
      <c r="V104" s="53"/>
      <c r="W104" s="53"/>
      <c r="X104" s="53"/>
      <c r="Y104" s="53"/>
      <c r="Z104" s="53"/>
      <c r="AA104" s="53"/>
      <c r="AB104" s="53"/>
      <c r="AC104" s="53"/>
      <c r="AD104" s="53"/>
      <c r="AE104" s="53"/>
      <c r="AF104" s="53"/>
      <c r="AG104" s="53"/>
    </row>
    <row r="105" spans="2:37" ht="15" customHeight="1" x14ac:dyDescent="0.25">
      <c r="B105" s="135" t="str">
        <f>HYPERLINK("https://www.pbo.gov.au/elections/2025-general-election/2025-election-commitments-costings/super-home-buyer-scheme", "ECR-2025-2301")</f>
        <v>ECR-2025-2301</v>
      </c>
      <c r="C105" s="59" t="s">
        <v>210</v>
      </c>
      <c r="D105" s="60">
        <v>-146</v>
      </c>
      <c r="E105" s="60">
        <v>-91</v>
      </c>
      <c r="F105" s="60">
        <v>-133</v>
      </c>
      <c r="G105" s="60">
        <v>-169</v>
      </c>
      <c r="H105" s="60">
        <v>-200</v>
      </c>
      <c r="I105" s="60">
        <v>-230</v>
      </c>
      <c r="J105" s="60">
        <v>-253</v>
      </c>
      <c r="K105" s="60">
        <v>-273</v>
      </c>
      <c r="L105" s="60">
        <v>-292</v>
      </c>
      <c r="M105" s="60">
        <v>-310</v>
      </c>
      <c r="N105" s="60">
        <v>-325</v>
      </c>
      <c r="O105" s="60">
        <v>-539</v>
      </c>
      <c r="P105" s="60">
        <v>-2422</v>
      </c>
      <c r="Q105" s="61"/>
      <c r="R105" s="61"/>
      <c r="S105" s="59" t="s">
        <v>327</v>
      </c>
      <c r="U105" s="53"/>
      <c r="V105" s="53"/>
      <c r="W105" s="53"/>
      <c r="X105" s="53"/>
      <c r="Y105" s="53"/>
      <c r="Z105" s="53"/>
      <c r="AA105" s="53"/>
      <c r="AB105" s="53"/>
      <c r="AC105" s="53"/>
      <c r="AD105" s="53"/>
      <c r="AE105" s="53"/>
      <c r="AF105" s="53"/>
      <c r="AG105" s="53"/>
    </row>
    <row r="106" spans="2:37" ht="15" customHeight="1" x14ac:dyDescent="0.25">
      <c r="B106" s="135" t="str">
        <f>HYPERLINK("https://www.pbo.gov.au/elections/2025-general-election/2025-election-commitments-costings/supporting-local-community-infrastructure-projects", "ECR-2025-2369")</f>
        <v>ECR-2025-2369</v>
      </c>
      <c r="C106" s="59" t="s">
        <v>255</v>
      </c>
      <c r="D106" s="60">
        <v>-458.8</v>
      </c>
      <c r="E106" s="60">
        <v>-435.6</v>
      </c>
      <c r="F106" s="60">
        <v>-400.8</v>
      </c>
      <c r="G106" s="60">
        <v>-349.5</v>
      </c>
      <c r="H106" s="60">
        <v>0</v>
      </c>
      <c r="I106" s="60">
        <v>0</v>
      </c>
      <c r="J106" s="60">
        <v>0</v>
      </c>
      <c r="K106" s="60">
        <v>0</v>
      </c>
      <c r="L106" s="60">
        <v>0</v>
      </c>
      <c r="M106" s="60">
        <v>0</v>
      </c>
      <c r="N106" s="60">
        <v>0</v>
      </c>
      <c r="O106" s="60">
        <v>-1644.7</v>
      </c>
      <c r="P106" s="60">
        <v>-1644.7</v>
      </c>
      <c r="Q106" s="61"/>
      <c r="R106" s="61"/>
      <c r="S106" s="59" t="s">
        <v>261</v>
      </c>
      <c r="U106" s="53"/>
      <c r="V106" s="53"/>
      <c r="W106" s="53"/>
      <c r="X106" s="53"/>
      <c r="Y106" s="53"/>
      <c r="Z106" s="53"/>
      <c r="AA106" s="53"/>
      <c r="AB106" s="53"/>
      <c r="AC106" s="53"/>
      <c r="AD106" s="53"/>
      <c r="AE106" s="53"/>
      <c r="AF106" s="53"/>
      <c r="AG106" s="53"/>
    </row>
    <row r="107" spans="2:37" ht="15" customHeight="1" x14ac:dyDescent="0.25">
      <c r="B107" s="135" t="str">
        <f>HYPERLINK("https://www.pbo.gov.au/elections/2025-general-election/2025-election-commitments-costings/Tradie%20and%20trainee%20booster%20apprentice%20and%20trainee%20hiring%20incentive", "ECR-2025-2325")</f>
        <v>ECR-2025-2325</v>
      </c>
      <c r="C107" s="59" t="s">
        <v>426</v>
      </c>
      <c r="D107" s="60">
        <v>-30</v>
      </c>
      <c r="E107" s="60">
        <v>-141</v>
      </c>
      <c r="F107" s="60">
        <v>-184</v>
      </c>
      <c r="G107" s="60">
        <v>-156</v>
      </c>
      <c r="H107" s="60">
        <v>-45</v>
      </c>
      <c r="I107" s="60">
        <v>-2</v>
      </c>
      <c r="J107" s="60">
        <v>0</v>
      </c>
      <c r="K107" s="60">
        <v>0</v>
      </c>
      <c r="L107" s="60">
        <v>0</v>
      </c>
      <c r="M107" s="60">
        <v>0</v>
      </c>
      <c r="N107" s="60">
        <v>0</v>
      </c>
      <c r="O107" s="60">
        <v>-511</v>
      </c>
      <c r="P107" s="60">
        <v>-558</v>
      </c>
      <c r="Q107" s="61"/>
      <c r="R107" s="61"/>
      <c r="S107" s="59" t="s">
        <v>322</v>
      </c>
      <c r="U107" s="53"/>
      <c r="V107" s="53"/>
      <c r="W107" s="53"/>
      <c r="X107" s="53"/>
      <c r="Y107" s="53"/>
      <c r="Z107" s="53"/>
      <c r="AA107" s="53"/>
      <c r="AB107" s="53"/>
      <c r="AC107" s="53"/>
      <c r="AD107" s="53"/>
      <c r="AE107" s="53"/>
      <c r="AF107" s="53"/>
      <c r="AG107" s="53"/>
    </row>
    <row r="108" spans="2:37" ht="15" customHeight="1" x14ac:dyDescent="0.25">
      <c r="B108" s="135" t="str">
        <f>HYPERLINK("https://www.pbo.gov.au/elections/2025-general-election/2025-election-commitments-costings/two-tiered-student-visa-application-charge", "ECR-2025-2852")</f>
        <v>ECR-2025-2852</v>
      </c>
      <c r="C108" s="59" t="s">
        <v>373</v>
      </c>
      <c r="D108" s="60">
        <v>797.1</v>
      </c>
      <c r="E108" s="60">
        <v>788</v>
      </c>
      <c r="F108" s="60">
        <v>769</v>
      </c>
      <c r="G108" s="60">
        <v>758</v>
      </c>
      <c r="H108" s="60">
        <v>746.9</v>
      </c>
      <c r="I108" s="60">
        <v>733.9</v>
      </c>
      <c r="J108" s="60">
        <v>719.9</v>
      </c>
      <c r="K108" s="60">
        <v>699.9</v>
      </c>
      <c r="L108" s="60">
        <v>678.9</v>
      </c>
      <c r="M108" s="60">
        <v>654.9</v>
      </c>
      <c r="N108" s="60">
        <v>627.9</v>
      </c>
      <c r="O108" s="60">
        <v>3112.1</v>
      </c>
      <c r="P108" s="60">
        <v>7974.4</v>
      </c>
      <c r="Q108" s="61"/>
      <c r="R108" s="61"/>
      <c r="S108" s="59" t="s">
        <v>314</v>
      </c>
      <c r="T108" s="79"/>
      <c r="U108" s="53"/>
      <c r="V108" s="53"/>
      <c r="W108" s="53"/>
      <c r="X108" s="53"/>
      <c r="Y108" s="53"/>
      <c r="Z108" s="53"/>
      <c r="AA108" s="53"/>
      <c r="AB108" s="53"/>
      <c r="AC108" s="53"/>
      <c r="AD108" s="53"/>
      <c r="AE108" s="53"/>
      <c r="AF108" s="53"/>
      <c r="AG108" s="53"/>
    </row>
    <row r="109" spans="2:37" ht="15" customHeight="1" x14ac:dyDescent="0.25">
      <c r="B109" s="59" t="s">
        <v>119</v>
      </c>
      <c r="C109" s="59" t="s">
        <v>398</v>
      </c>
      <c r="D109" s="60">
        <v>0</v>
      </c>
      <c r="E109" s="60">
        <v>0</v>
      </c>
      <c r="F109" s="60">
        <v>0</v>
      </c>
      <c r="G109" s="60">
        <v>0</v>
      </c>
      <c r="H109" s="60">
        <v>0</v>
      </c>
      <c r="I109" s="60">
        <v>0</v>
      </c>
      <c r="J109" s="60">
        <v>0</v>
      </c>
      <c r="K109" s="60">
        <v>0</v>
      </c>
      <c r="L109" s="60">
        <v>0</v>
      </c>
      <c r="M109" s="60">
        <v>0</v>
      </c>
      <c r="N109" s="60">
        <v>0</v>
      </c>
      <c r="O109" s="60">
        <v>0</v>
      </c>
      <c r="P109" s="60">
        <v>0</v>
      </c>
      <c r="Q109" s="61"/>
      <c r="R109" s="61"/>
      <c r="S109" s="59" t="s">
        <v>261</v>
      </c>
      <c r="T109" s="80"/>
      <c r="U109" s="53"/>
      <c r="V109" s="53"/>
      <c r="W109" s="53"/>
      <c r="X109" s="53"/>
      <c r="Y109" s="53"/>
      <c r="Z109" s="53"/>
      <c r="AA109" s="53"/>
      <c r="AB109" s="53"/>
      <c r="AC109" s="53"/>
      <c r="AD109" s="53"/>
      <c r="AE109" s="53"/>
      <c r="AF109" s="53"/>
      <c r="AG109" s="53"/>
    </row>
    <row r="110" spans="2:37" ht="15" customHeight="1" x14ac:dyDescent="0.25">
      <c r="B110" s="62" t="s">
        <v>378</v>
      </c>
      <c r="C110" s="62"/>
      <c r="D110" s="63">
        <v>546.1</v>
      </c>
      <c r="E110" s="63">
        <v>484</v>
      </c>
      <c r="F110" s="63">
        <v>795.5</v>
      </c>
      <c r="G110" s="63">
        <v>341.5</v>
      </c>
      <c r="H110" s="63">
        <v>4384.2</v>
      </c>
      <c r="I110" s="63">
        <v>231.3</v>
      </c>
      <c r="J110" s="63">
        <v>384.4</v>
      </c>
      <c r="K110" s="63">
        <v>271.39999999999998</v>
      </c>
      <c r="L110" s="63">
        <v>-52.8</v>
      </c>
      <c r="M110" s="63">
        <v>-1305.7</v>
      </c>
      <c r="N110" s="63">
        <v>-861.4</v>
      </c>
      <c r="O110" s="63">
        <v>2167.1</v>
      </c>
      <c r="P110" s="63">
        <v>5218.5</v>
      </c>
      <c r="Q110" s="64" t="s">
        <v>9</v>
      </c>
      <c r="R110" s="64"/>
      <c r="S110" s="62" t="s">
        <v>10</v>
      </c>
    </row>
    <row r="111" spans="2:37" ht="15" customHeight="1" x14ac:dyDescent="0.25">
      <c r="B111" s="81" t="s">
        <v>96</v>
      </c>
      <c r="C111" s="3"/>
      <c r="D111" s="55" t="s">
        <v>10</v>
      </c>
      <c r="E111" s="55" t="s">
        <v>10</v>
      </c>
      <c r="F111" s="55" t="s">
        <v>10</v>
      </c>
      <c r="G111" s="55" t="s">
        <v>10</v>
      </c>
      <c r="H111" s="55" t="s">
        <v>10</v>
      </c>
      <c r="I111" s="55" t="s">
        <v>10</v>
      </c>
      <c r="J111" s="55" t="s">
        <v>10</v>
      </c>
      <c r="K111" s="55" t="s">
        <v>10</v>
      </c>
      <c r="L111" s="55" t="s">
        <v>10</v>
      </c>
      <c r="M111" s="55" t="s">
        <v>10</v>
      </c>
      <c r="N111" s="55" t="s">
        <v>10</v>
      </c>
      <c r="O111" s="55" t="s">
        <v>10</v>
      </c>
      <c r="P111" s="55" t="s">
        <v>10</v>
      </c>
      <c r="Q111" s="4"/>
      <c r="R111" s="4"/>
      <c r="S111" s="3" t="s">
        <v>10</v>
      </c>
      <c r="U111" s="53"/>
      <c r="V111" s="53"/>
      <c r="W111" s="53"/>
      <c r="X111" s="53"/>
      <c r="Y111" s="53"/>
      <c r="Z111" s="53"/>
      <c r="AA111" s="53"/>
      <c r="AB111" s="53"/>
      <c r="AC111" s="53"/>
      <c r="AD111" s="53"/>
      <c r="AE111" s="53"/>
      <c r="AF111" s="53"/>
      <c r="AG111" s="53"/>
      <c r="AH111" s="79"/>
      <c r="AI111" s="79"/>
      <c r="AJ111" s="79"/>
      <c r="AK111" s="79"/>
    </row>
    <row r="112" spans="2:37" ht="15" customHeight="1" x14ac:dyDescent="0.25">
      <c r="B112" s="135" t="str">
        <f>HYPERLINK("https://www.pbo.gov.au/elections/2025-general-election/2025-election-commitments-costings/80th-anniversary-end-WWII-grants-program", "ECR-2025-2203")</f>
        <v>ECR-2025-2203</v>
      </c>
      <c r="C112" s="59" t="s">
        <v>134</v>
      </c>
      <c r="D112" s="60">
        <v>-10.199999999999999</v>
      </c>
      <c r="E112" s="60">
        <v>-12</v>
      </c>
      <c r="F112" s="60">
        <v>0</v>
      </c>
      <c r="G112" s="60">
        <v>0</v>
      </c>
      <c r="H112" s="60">
        <v>0</v>
      </c>
      <c r="I112" s="60">
        <v>0</v>
      </c>
      <c r="J112" s="60">
        <v>0</v>
      </c>
      <c r="K112" s="60">
        <v>0</v>
      </c>
      <c r="L112" s="60">
        <v>0</v>
      </c>
      <c r="M112" s="60">
        <v>0</v>
      </c>
      <c r="N112" s="60">
        <v>0</v>
      </c>
      <c r="O112" s="60">
        <v>-22.2</v>
      </c>
      <c r="P112" s="60">
        <v>-22.2</v>
      </c>
      <c r="Q112" s="61"/>
      <c r="R112" s="61"/>
      <c r="S112" s="59" t="s">
        <v>257</v>
      </c>
      <c r="U112" s="53"/>
      <c r="V112" s="53"/>
      <c r="W112" s="53"/>
      <c r="X112" s="53"/>
      <c r="Y112" s="53"/>
      <c r="Z112" s="53"/>
      <c r="AA112" s="53"/>
      <c r="AB112" s="53"/>
      <c r="AC112" s="53"/>
      <c r="AD112" s="53"/>
      <c r="AE112" s="53"/>
      <c r="AF112" s="53"/>
      <c r="AG112" s="53"/>
      <c r="AH112" s="79"/>
      <c r="AI112" s="79"/>
      <c r="AJ112" s="79"/>
      <c r="AK112" s="79"/>
    </row>
    <row r="113" spans="2:37" ht="15" customHeight="1" x14ac:dyDescent="0.25">
      <c r="B113" s="135" t="str">
        <f>HYPERLINK("https://www.pbo.gov.au/elections/2025-general-election/2025-election-commitments-costings/Adass-Israel-Synagogue-rebuild", "ECR-2025-2272")</f>
        <v>ECR-2025-2272</v>
      </c>
      <c r="C113" s="59" t="s">
        <v>427</v>
      </c>
      <c r="D113" s="60">
        <v>-3.8</v>
      </c>
      <c r="E113" s="60">
        <v>0</v>
      </c>
      <c r="F113" s="60">
        <v>0</v>
      </c>
      <c r="G113" s="60">
        <v>0</v>
      </c>
      <c r="H113" s="60">
        <v>0</v>
      </c>
      <c r="I113" s="60">
        <v>0</v>
      </c>
      <c r="J113" s="60">
        <v>0</v>
      </c>
      <c r="K113" s="60">
        <v>0</v>
      </c>
      <c r="L113" s="60">
        <v>0</v>
      </c>
      <c r="M113" s="60">
        <v>0</v>
      </c>
      <c r="N113" s="60">
        <v>0</v>
      </c>
      <c r="O113" s="60">
        <v>-3.8</v>
      </c>
      <c r="P113" s="60">
        <v>-3.8</v>
      </c>
      <c r="Q113" s="61"/>
      <c r="R113" s="61"/>
      <c r="S113" s="59" t="s">
        <v>258</v>
      </c>
      <c r="U113" s="53"/>
      <c r="V113" s="53"/>
      <c r="W113" s="53"/>
      <c r="X113" s="53"/>
      <c r="Y113" s="53"/>
      <c r="Z113" s="53"/>
      <c r="AA113" s="53"/>
      <c r="AB113" s="53"/>
      <c r="AC113" s="53"/>
      <c r="AD113" s="53"/>
      <c r="AE113" s="53"/>
      <c r="AF113" s="53"/>
      <c r="AG113" s="53"/>
      <c r="AH113" s="79"/>
      <c r="AI113" s="79"/>
      <c r="AJ113" s="79"/>
      <c r="AK113" s="79"/>
    </row>
    <row r="114" spans="2:37" ht="15" customHeight="1" x14ac:dyDescent="0.25">
      <c r="B114" s="135" t="str">
        <f>HYPERLINK("https://www.pbo.gov.au/elections/2025-general-election/2025-election-commitments-costings/alannah-and-madeline-foundation-support", "ECR-2025-2544")</f>
        <v>ECR-2025-2544</v>
      </c>
      <c r="C114" s="59" t="s">
        <v>138</v>
      </c>
      <c r="D114" s="60">
        <v>0</v>
      </c>
      <c r="E114" s="60">
        <v>-2</v>
      </c>
      <c r="F114" s="60">
        <v>-2</v>
      </c>
      <c r="G114" s="60">
        <v>-2</v>
      </c>
      <c r="H114" s="60">
        <v>0</v>
      </c>
      <c r="I114" s="60">
        <v>0</v>
      </c>
      <c r="J114" s="60">
        <v>0</v>
      </c>
      <c r="K114" s="60">
        <v>0</v>
      </c>
      <c r="L114" s="60">
        <v>0</v>
      </c>
      <c r="M114" s="60">
        <v>0</v>
      </c>
      <c r="N114" s="60">
        <v>0</v>
      </c>
      <c r="O114" s="60">
        <v>-6</v>
      </c>
      <c r="P114" s="60">
        <v>-6</v>
      </c>
      <c r="Q114" s="61"/>
      <c r="R114" s="61"/>
      <c r="S114" s="59" t="s">
        <v>259</v>
      </c>
      <c r="U114" s="53"/>
      <c r="V114" s="53"/>
      <c r="W114" s="53"/>
      <c r="X114" s="53"/>
      <c r="Y114" s="53"/>
      <c r="Z114" s="53"/>
      <c r="AA114" s="53"/>
      <c r="AB114" s="53"/>
      <c r="AC114" s="53"/>
      <c r="AD114" s="53"/>
      <c r="AE114" s="53"/>
      <c r="AF114" s="53"/>
      <c r="AG114" s="53"/>
      <c r="AH114" s="79"/>
      <c r="AI114" s="79"/>
      <c r="AJ114" s="79"/>
      <c r="AK114" s="79"/>
    </row>
    <row r="115" spans="2:37" ht="15" customHeight="1" x14ac:dyDescent="0.25">
      <c r="B115" s="135" t="str">
        <f>HYPERLINK("https://www.pbo.gov.au/elections/2025-general-election/2025-election-commitments-costings/albany-national-anzac-centre-commonwealth-support", "ECR-2025-2795")</f>
        <v>ECR-2025-2795</v>
      </c>
      <c r="C115" s="59" t="s">
        <v>129</v>
      </c>
      <c r="D115" s="60">
        <v>-1.5</v>
      </c>
      <c r="E115" s="60">
        <v>-1.5</v>
      </c>
      <c r="F115" s="60">
        <v>-1.5</v>
      </c>
      <c r="G115" s="60">
        <v>-1.5</v>
      </c>
      <c r="H115" s="60">
        <v>0</v>
      </c>
      <c r="I115" s="60">
        <v>0</v>
      </c>
      <c r="J115" s="60">
        <v>0</v>
      </c>
      <c r="K115" s="60">
        <v>0</v>
      </c>
      <c r="L115" s="60">
        <v>0</v>
      </c>
      <c r="M115" s="60">
        <v>0</v>
      </c>
      <c r="N115" s="60">
        <v>0</v>
      </c>
      <c r="O115" s="60">
        <v>-6</v>
      </c>
      <c r="P115" s="60">
        <v>-6</v>
      </c>
      <c r="Q115" s="61"/>
      <c r="R115" s="61"/>
      <c r="S115" s="59" t="s">
        <v>260</v>
      </c>
      <c r="U115" s="53"/>
      <c r="V115" s="53"/>
      <c r="W115" s="53"/>
      <c r="X115" s="53"/>
      <c r="Y115" s="53"/>
      <c r="Z115" s="53"/>
      <c r="AA115" s="53"/>
      <c r="AB115" s="53"/>
      <c r="AC115" s="53"/>
      <c r="AD115" s="53"/>
      <c r="AE115" s="53"/>
      <c r="AF115" s="53"/>
      <c r="AG115" s="53"/>
      <c r="AH115" s="79"/>
      <c r="AI115" s="79"/>
      <c r="AJ115" s="79"/>
      <c r="AK115" s="79"/>
    </row>
    <row r="116" spans="2:37" ht="15" customHeight="1" x14ac:dyDescent="0.25">
      <c r="B116" s="135" t="str">
        <f>HYPERLINK("https://www.pbo.gov.au/elections/2025-general-election/2025-election-commitments-costings/Ambassador%20for%20First%20Nations%20People%20-%20reverse", "ECR-2025-2056")</f>
        <v>ECR-2025-2056</v>
      </c>
      <c r="C116" s="59" t="s">
        <v>141</v>
      </c>
      <c r="D116" s="60">
        <v>0.6</v>
      </c>
      <c r="E116" s="60">
        <v>0.7</v>
      </c>
      <c r="F116" s="60">
        <v>0.7</v>
      </c>
      <c r="G116" s="60">
        <v>0.7</v>
      </c>
      <c r="H116" s="60">
        <v>0.7</v>
      </c>
      <c r="I116" s="60">
        <v>0.7</v>
      </c>
      <c r="J116" s="60">
        <v>0.7</v>
      </c>
      <c r="K116" s="60">
        <v>0.7</v>
      </c>
      <c r="L116" s="60">
        <v>0.8</v>
      </c>
      <c r="M116" s="60">
        <v>0.8</v>
      </c>
      <c r="N116" s="60">
        <v>0.8</v>
      </c>
      <c r="O116" s="60">
        <v>2.7</v>
      </c>
      <c r="P116" s="60">
        <v>7.9</v>
      </c>
      <c r="Q116" s="61"/>
      <c r="R116" s="61"/>
      <c r="S116" s="59" t="s">
        <v>261</v>
      </c>
      <c r="U116" s="53"/>
      <c r="V116" s="53"/>
      <c r="W116" s="53"/>
      <c r="X116" s="53"/>
      <c r="Y116" s="53"/>
      <c r="Z116" s="53"/>
      <c r="AA116" s="53"/>
      <c r="AB116" s="53"/>
      <c r="AC116" s="53"/>
      <c r="AD116" s="53"/>
      <c r="AE116" s="53"/>
      <c r="AF116" s="53"/>
      <c r="AG116" s="53"/>
      <c r="AH116" s="79"/>
      <c r="AI116" s="79"/>
      <c r="AJ116" s="79"/>
      <c r="AK116" s="79"/>
    </row>
    <row r="117" spans="2:37" ht="15" customHeight="1" x14ac:dyDescent="0.25">
      <c r="B117" s="59" t="s">
        <v>102</v>
      </c>
      <c r="C117" s="59" t="s">
        <v>399</v>
      </c>
      <c r="D117" s="60">
        <v>0</v>
      </c>
      <c r="E117" s="60">
        <v>0</v>
      </c>
      <c r="F117" s="60">
        <v>0</v>
      </c>
      <c r="G117" s="60">
        <v>0</v>
      </c>
      <c r="H117" s="60">
        <v>0</v>
      </c>
      <c r="I117" s="60">
        <v>0</v>
      </c>
      <c r="J117" s="60">
        <v>0</v>
      </c>
      <c r="K117" s="60">
        <v>0</v>
      </c>
      <c r="L117" s="60">
        <v>0</v>
      </c>
      <c r="M117" s="60">
        <v>0</v>
      </c>
      <c r="N117" s="60">
        <v>0</v>
      </c>
      <c r="O117" s="60">
        <v>0</v>
      </c>
      <c r="P117" s="60">
        <v>0</v>
      </c>
      <c r="Q117" s="61"/>
      <c r="R117" s="61"/>
      <c r="S117" s="59" t="s">
        <v>261</v>
      </c>
      <c r="U117" s="53"/>
      <c r="V117" s="53"/>
      <c r="W117" s="53"/>
      <c r="X117" s="53"/>
      <c r="Y117" s="53"/>
      <c r="Z117" s="53"/>
      <c r="AA117" s="53"/>
      <c r="AB117" s="53"/>
      <c r="AC117" s="53"/>
      <c r="AD117" s="53"/>
      <c r="AE117" s="53"/>
      <c r="AF117" s="53"/>
      <c r="AG117" s="53"/>
    </row>
    <row r="118" spans="2:37" ht="15" customHeight="1" x14ac:dyDescent="0.25">
      <c r="B118" s="135" t="str">
        <f>HYPERLINK("https://www.pbo.gov.au/elections/2025-general-election/2025-election-commitments-costings/anti-semitism-taskforce", "ECR-2025-2477")</f>
        <v>ECR-2025-2477</v>
      </c>
      <c r="C118" s="59" t="s">
        <v>197</v>
      </c>
      <c r="D118" s="60">
        <v>-5.7</v>
      </c>
      <c r="E118" s="60">
        <v>-7.4</v>
      </c>
      <c r="F118" s="60">
        <v>-7.5</v>
      </c>
      <c r="G118" s="60">
        <v>-7.7</v>
      </c>
      <c r="H118" s="60">
        <v>0</v>
      </c>
      <c r="I118" s="60">
        <v>0</v>
      </c>
      <c r="J118" s="60">
        <v>0</v>
      </c>
      <c r="K118" s="60">
        <v>0</v>
      </c>
      <c r="L118" s="60">
        <v>0</v>
      </c>
      <c r="M118" s="60">
        <v>0</v>
      </c>
      <c r="N118" s="60">
        <v>0</v>
      </c>
      <c r="O118" s="60">
        <v>-28.3</v>
      </c>
      <c r="P118" s="60">
        <v>-28.3</v>
      </c>
      <c r="Q118" s="61"/>
      <c r="R118" s="61"/>
      <c r="S118" s="59" t="s">
        <v>262</v>
      </c>
      <c r="U118" s="53"/>
      <c r="V118" s="53"/>
      <c r="W118" s="53"/>
      <c r="X118" s="53"/>
      <c r="Y118" s="53"/>
      <c r="Z118" s="53"/>
      <c r="AA118" s="53"/>
      <c r="AB118" s="53"/>
      <c r="AC118" s="53"/>
      <c r="AD118" s="53"/>
      <c r="AE118" s="53"/>
      <c r="AF118" s="53"/>
      <c r="AG118" s="53"/>
    </row>
    <row r="119" spans="2:37" ht="15" customHeight="1" x14ac:dyDescent="0.25">
      <c r="B119" s="135" t="str">
        <f>HYPERLINK("https://www.pbo.gov.au/elections/2025-general-election/2025-election-commitments-costings/australian-centre-counter-child-exploitation-double-funding", "ECR-2025-2141")</f>
        <v>ECR-2025-2141</v>
      </c>
      <c r="C119" s="59" t="s">
        <v>216</v>
      </c>
      <c r="D119" s="60">
        <v>-32.9</v>
      </c>
      <c r="E119" s="60">
        <v>-32.700000000000003</v>
      </c>
      <c r="F119" s="60">
        <v>-33.4</v>
      </c>
      <c r="G119" s="60">
        <v>-34.200000000000003</v>
      </c>
      <c r="H119" s="60">
        <v>-35.1</v>
      </c>
      <c r="I119" s="60">
        <v>-36</v>
      </c>
      <c r="J119" s="60">
        <v>-36.9</v>
      </c>
      <c r="K119" s="60">
        <v>-37.9</v>
      </c>
      <c r="L119" s="60">
        <v>-38.9</v>
      </c>
      <c r="M119" s="60">
        <v>-39.9</v>
      </c>
      <c r="N119" s="60">
        <v>-40.9</v>
      </c>
      <c r="O119" s="60">
        <v>-133.19999999999999</v>
      </c>
      <c r="P119" s="60">
        <v>-398.8</v>
      </c>
      <c r="Q119" s="61"/>
      <c r="R119" s="61"/>
      <c r="S119" s="59" t="s">
        <v>263</v>
      </c>
      <c r="U119" s="53"/>
      <c r="V119" s="53"/>
      <c r="W119" s="53"/>
      <c r="X119" s="53"/>
      <c r="Y119" s="53"/>
      <c r="Z119" s="53"/>
      <c r="AA119" s="53"/>
      <c r="AB119" s="53"/>
      <c r="AC119" s="53"/>
      <c r="AD119" s="53"/>
      <c r="AE119" s="53"/>
      <c r="AF119" s="53"/>
      <c r="AG119" s="53"/>
    </row>
    <row r="120" spans="2:37" ht="15" customHeight="1" x14ac:dyDescent="0.25">
      <c r="B120" s="135" t="str">
        <f>HYPERLINK("https://www.pbo.gov.au/elections/2025-general-election/2025-election-commitments-costings/Australian%20Recycling%20Accreditation%20Program", "ECR-2025-2324")</f>
        <v>ECR-2025-2324</v>
      </c>
      <c r="C120" s="59" t="s">
        <v>137</v>
      </c>
      <c r="D120" s="60">
        <v>-0.6</v>
      </c>
      <c r="E120" s="60">
        <v>0</v>
      </c>
      <c r="F120" s="60">
        <v>0</v>
      </c>
      <c r="G120" s="60">
        <v>0</v>
      </c>
      <c r="H120" s="60">
        <v>0</v>
      </c>
      <c r="I120" s="60">
        <v>0</v>
      </c>
      <c r="J120" s="60">
        <v>0</v>
      </c>
      <c r="K120" s="60">
        <v>0</v>
      </c>
      <c r="L120" s="60">
        <v>0</v>
      </c>
      <c r="M120" s="60">
        <v>0</v>
      </c>
      <c r="N120" s="60">
        <v>0</v>
      </c>
      <c r="O120" s="60">
        <v>-0.6</v>
      </c>
      <c r="P120" s="60">
        <v>-0.6</v>
      </c>
      <c r="Q120" s="61"/>
      <c r="R120" s="61"/>
      <c r="S120" s="59" t="s">
        <v>264</v>
      </c>
      <c r="U120" s="53"/>
      <c r="V120" s="53"/>
      <c r="W120" s="53"/>
      <c r="X120" s="53"/>
      <c r="Y120" s="53"/>
      <c r="Z120" s="53"/>
      <c r="AA120" s="53"/>
      <c r="AB120" s="53"/>
      <c r="AC120" s="53"/>
      <c r="AD120" s="53"/>
      <c r="AE120" s="53"/>
      <c r="AF120" s="53"/>
      <c r="AG120" s="53"/>
    </row>
    <row r="121" spans="2:37" ht="15" customHeight="1" x14ac:dyDescent="0.25">
      <c r="B121" s="135" t="str">
        <f>HYPERLINK("https://www.pbo.gov.au/elections/2025-general-election/2025-election-commitments-costings/battery-and-e-waste-disposal", "ECR-2025-2330")</f>
        <v>ECR-2025-2330</v>
      </c>
      <c r="C121" s="59" t="s">
        <v>192</v>
      </c>
      <c r="D121" s="60">
        <v>-48.4</v>
      </c>
      <c r="E121" s="60">
        <v>-0.4</v>
      </c>
      <c r="F121" s="60">
        <v>-0.4</v>
      </c>
      <c r="G121" s="60">
        <v>-0.4</v>
      </c>
      <c r="H121" s="60">
        <v>-0.4</v>
      </c>
      <c r="I121" s="60">
        <v>-0.5</v>
      </c>
      <c r="J121" s="60">
        <v>-0.5</v>
      </c>
      <c r="K121" s="60">
        <v>-0.2</v>
      </c>
      <c r="L121" s="60">
        <v>-0.2</v>
      </c>
      <c r="M121" s="60">
        <v>-0.2</v>
      </c>
      <c r="N121" s="60">
        <v>-0.2</v>
      </c>
      <c r="O121" s="60">
        <v>-49.7</v>
      </c>
      <c r="P121" s="60">
        <v>-52</v>
      </c>
      <c r="Q121" s="61"/>
      <c r="R121" s="61"/>
      <c r="S121" s="59" t="s">
        <v>265</v>
      </c>
      <c r="U121" s="53"/>
      <c r="V121" s="53"/>
      <c r="W121" s="53"/>
      <c r="X121" s="53"/>
      <c r="Y121" s="53"/>
      <c r="Z121" s="53"/>
      <c r="AA121" s="53"/>
      <c r="AB121" s="53"/>
      <c r="AC121" s="53"/>
      <c r="AD121" s="53"/>
      <c r="AE121" s="53"/>
      <c r="AF121" s="53"/>
      <c r="AG121" s="53"/>
    </row>
    <row r="122" spans="2:37" ht="15" customHeight="1" x14ac:dyDescent="0.25">
      <c r="B122" s="135" t="str">
        <f>HYPERLINK("https://www.pbo.gov.au/elections/2025-general-election/2025-election-commitments-costings/boosting-perpetrator-responses-including-electronic-monitoring-and-ankle-bracelets-high-risk-perpetrators", "ECR-2025-2806")</f>
        <v>ECR-2025-2806</v>
      </c>
      <c r="C122" s="59" t="s">
        <v>198</v>
      </c>
      <c r="D122" s="60">
        <v>-3</v>
      </c>
      <c r="E122" s="60">
        <v>-3</v>
      </c>
      <c r="F122" s="60">
        <v>-2.6</v>
      </c>
      <c r="G122" s="60">
        <v>0</v>
      </c>
      <c r="H122" s="60">
        <v>0</v>
      </c>
      <c r="I122" s="60">
        <v>0</v>
      </c>
      <c r="J122" s="60">
        <v>0</v>
      </c>
      <c r="K122" s="60">
        <v>0</v>
      </c>
      <c r="L122" s="60">
        <v>0</v>
      </c>
      <c r="M122" s="60">
        <v>0</v>
      </c>
      <c r="N122" s="60">
        <v>0</v>
      </c>
      <c r="O122" s="60">
        <v>-8.6</v>
      </c>
      <c r="P122" s="60">
        <v>-8.6</v>
      </c>
      <c r="Q122" s="61"/>
      <c r="R122" s="61"/>
      <c r="S122" s="59" t="s">
        <v>266</v>
      </c>
      <c r="U122" s="53"/>
      <c r="V122" s="53"/>
      <c r="W122" s="53"/>
      <c r="X122" s="53"/>
      <c r="Y122" s="53"/>
      <c r="Z122" s="53"/>
      <c r="AA122" s="53"/>
      <c r="AB122" s="53"/>
      <c r="AC122" s="53"/>
      <c r="AD122" s="53"/>
      <c r="AE122" s="53"/>
      <c r="AF122" s="53"/>
      <c r="AG122" s="53"/>
    </row>
    <row r="123" spans="2:37" ht="15" customHeight="1" x14ac:dyDescent="0.25">
      <c r="B123" s="135" t="str">
        <f>HYPERLINK("https://www.pbo.gov.au/elections/2025-general-election/2025-election-commitments-costings/Cashless-Debit-Card-trial-sites", "ECR-2025-2293")</f>
        <v>ECR-2025-2293</v>
      </c>
      <c r="C123" s="59" t="s">
        <v>200</v>
      </c>
      <c r="D123" s="60">
        <v>-24</v>
      </c>
      <c r="E123" s="60">
        <v>-20.8</v>
      </c>
      <c r="F123" s="60">
        <v>-20.5</v>
      </c>
      <c r="G123" s="60">
        <v>-21.3</v>
      </c>
      <c r="H123" s="60">
        <v>-23.4</v>
      </c>
      <c r="I123" s="60">
        <v>-25.6</v>
      </c>
      <c r="J123" s="60">
        <v>-28.1</v>
      </c>
      <c r="K123" s="60">
        <v>-30.8</v>
      </c>
      <c r="L123" s="60">
        <v>-34</v>
      </c>
      <c r="M123" s="60">
        <v>-37.4</v>
      </c>
      <c r="N123" s="60">
        <v>-41.3</v>
      </c>
      <c r="O123" s="60">
        <v>-86.6</v>
      </c>
      <c r="P123" s="60">
        <v>-307.2</v>
      </c>
      <c r="Q123" s="61"/>
      <c r="R123" s="61"/>
      <c r="S123" s="59" t="s">
        <v>267</v>
      </c>
      <c r="U123" s="53"/>
      <c r="V123" s="53"/>
      <c r="W123" s="53"/>
      <c r="X123" s="53"/>
      <c r="Y123" s="53"/>
      <c r="Z123" s="53"/>
      <c r="AA123" s="53"/>
      <c r="AB123" s="53"/>
      <c r="AC123" s="53"/>
      <c r="AD123" s="53"/>
      <c r="AE123" s="53"/>
      <c r="AF123" s="53"/>
      <c r="AG123" s="53"/>
    </row>
    <row r="124" spans="2:37" ht="15" customHeight="1" x14ac:dyDescent="0.25">
      <c r="B124" s="135" t="str">
        <f>HYPERLINK("https://www.pbo.gov.au/elections/2025-general-election/2025-election-commitments-costings/Chinese%20Museum%20of%20Queensland%20%E2%80%93%20support", "ECR-2025-2892")</f>
        <v>ECR-2025-2892</v>
      </c>
      <c r="C124" s="59" t="s">
        <v>133</v>
      </c>
      <c r="D124" s="60">
        <v>-0.2</v>
      </c>
      <c r="E124" s="60">
        <v>0</v>
      </c>
      <c r="F124" s="60">
        <v>0</v>
      </c>
      <c r="G124" s="60">
        <v>0</v>
      </c>
      <c r="H124" s="60">
        <v>0</v>
      </c>
      <c r="I124" s="60">
        <v>0</v>
      </c>
      <c r="J124" s="60">
        <v>0</v>
      </c>
      <c r="K124" s="60">
        <v>0</v>
      </c>
      <c r="L124" s="60">
        <v>0</v>
      </c>
      <c r="M124" s="60">
        <v>0</v>
      </c>
      <c r="N124" s="60">
        <v>0</v>
      </c>
      <c r="O124" s="60">
        <v>-0.2</v>
      </c>
      <c r="P124" s="60">
        <v>-0.2</v>
      </c>
      <c r="Q124" s="61"/>
      <c r="R124" s="61"/>
      <c r="S124" s="59" t="s">
        <v>268</v>
      </c>
      <c r="U124" s="53"/>
      <c r="V124" s="53"/>
      <c r="W124" s="53"/>
      <c r="X124" s="53"/>
      <c r="Y124" s="53"/>
      <c r="Z124" s="53"/>
      <c r="AA124" s="53"/>
      <c r="AB124" s="53"/>
      <c r="AC124" s="53"/>
      <c r="AD124" s="53"/>
      <c r="AE124" s="53"/>
      <c r="AF124" s="53"/>
      <c r="AG124" s="53"/>
    </row>
    <row r="125" spans="2:37" ht="15" customHeight="1" x14ac:dyDescent="0.25">
      <c r="B125" s="135" t="str">
        <f>HYPERLINK("https://www.pbo.gov.au/elections/2025-general-election/2025-election-commitments-costings/clean4shore-program", "ECR-2025-2031")</f>
        <v>ECR-2025-2031</v>
      </c>
      <c r="C125" s="59" t="s">
        <v>190</v>
      </c>
      <c r="D125" s="60">
        <v>-0.1</v>
      </c>
      <c r="E125" s="60">
        <v>-0.2</v>
      </c>
      <c r="F125" s="60">
        <v>-0.2</v>
      </c>
      <c r="G125" s="60">
        <v>0</v>
      </c>
      <c r="H125" s="60">
        <v>0</v>
      </c>
      <c r="I125" s="60">
        <v>0</v>
      </c>
      <c r="J125" s="60">
        <v>0</v>
      </c>
      <c r="K125" s="60">
        <v>0</v>
      </c>
      <c r="L125" s="60">
        <v>0</v>
      </c>
      <c r="M125" s="60">
        <v>0</v>
      </c>
      <c r="N125" s="60">
        <v>0</v>
      </c>
      <c r="O125" s="60">
        <v>-0.5</v>
      </c>
      <c r="P125" s="60">
        <v>-0.5</v>
      </c>
      <c r="Q125" s="61"/>
      <c r="R125" s="61"/>
      <c r="S125" s="59" t="s">
        <v>269</v>
      </c>
      <c r="U125" s="53"/>
      <c r="V125" s="53"/>
      <c r="W125" s="53"/>
      <c r="X125" s="53"/>
      <c r="Y125" s="53"/>
      <c r="Z125" s="53"/>
      <c r="AA125" s="53"/>
      <c r="AB125" s="53"/>
      <c r="AC125" s="53"/>
      <c r="AD125" s="53"/>
      <c r="AE125" s="53"/>
      <c r="AF125" s="53"/>
      <c r="AG125" s="53"/>
    </row>
    <row r="126" spans="2:37" ht="15" customHeight="1" x14ac:dyDescent="0.25">
      <c r="B126" s="59" t="s">
        <v>108</v>
      </c>
      <c r="C126" s="59" t="s">
        <v>400</v>
      </c>
      <c r="D126" s="60">
        <v>0</v>
      </c>
      <c r="E126" s="60">
        <v>0</v>
      </c>
      <c r="F126" s="60">
        <v>0</v>
      </c>
      <c r="G126" s="60">
        <v>0</v>
      </c>
      <c r="H126" s="60">
        <v>0</v>
      </c>
      <c r="I126" s="60">
        <v>0</v>
      </c>
      <c r="J126" s="60">
        <v>0</v>
      </c>
      <c r="K126" s="60">
        <v>0</v>
      </c>
      <c r="L126" s="60">
        <v>0</v>
      </c>
      <c r="M126" s="60">
        <v>0</v>
      </c>
      <c r="N126" s="60">
        <v>0</v>
      </c>
      <c r="O126" s="60">
        <v>0</v>
      </c>
      <c r="P126" s="60">
        <v>0</v>
      </c>
      <c r="Q126" s="61"/>
      <c r="R126" s="61"/>
      <c r="S126" s="59" t="s">
        <v>261</v>
      </c>
      <c r="U126" s="53"/>
      <c r="V126" s="53"/>
      <c r="W126" s="53"/>
      <c r="X126" s="53"/>
      <c r="Y126" s="53"/>
      <c r="Z126" s="53"/>
      <c r="AA126" s="53"/>
      <c r="AB126" s="53"/>
      <c r="AC126" s="53"/>
      <c r="AD126" s="53"/>
      <c r="AE126" s="53"/>
      <c r="AF126" s="53"/>
      <c r="AG126" s="53"/>
    </row>
    <row r="127" spans="2:37" ht="15" customHeight="1" x14ac:dyDescent="0.25">
      <c r="B127" s="135" t="str">
        <f>HYPERLINK("https://www.pbo.gov.au/elections/2025-general-election/2025-election-commitments-costings/Community%20language%20schools%20%E2%80%93%20support", "ECR-2025-2482")</f>
        <v>ECR-2025-2482</v>
      </c>
      <c r="C127" s="59" t="s">
        <v>428</v>
      </c>
      <c r="D127" s="60">
        <v>-6.3</v>
      </c>
      <c r="E127" s="60">
        <v>-6.3</v>
      </c>
      <c r="F127" s="60">
        <v>-6.2</v>
      </c>
      <c r="G127" s="60">
        <v>-6.2</v>
      </c>
      <c r="H127" s="60">
        <v>0</v>
      </c>
      <c r="I127" s="60">
        <v>0</v>
      </c>
      <c r="J127" s="60">
        <v>0</v>
      </c>
      <c r="K127" s="60">
        <v>0</v>
      </c>
      <c r="L127" s="60">
        <v>0</v>
      </c>
      <c r="M127" s="60">
        <v>0</v>
      </c>
      <c r="N127" s="60">
        <v>0</v>
      </c>
      <c r="O127" s="60">
        <v>-25</v>
      </c>
      <c r="P127" s="60">
        <v>-25</v>
      </c>
      <c r="Q127" s="61"/>
      <c r="R127" s="61"/>
      <c r="S127" s="59" t="s">
        <v>270</v>
      </c>
      <c r="U127" s="53"/>
      <c r="V127" s="53"/>
      <c r="W127" s="53"/>
      <c r="X127" s="53"/>
      <c r="Y127" s="53"/>
      <c r="Z127" s="53"/>
      <c r="AA127" s="53"/>
      <c r="AB127" s="53"/>
      <c r="AC127" s="53"/>
      <c r="AD127" s="53"/>
      <c r="AE127" s="53"/>
      <c r="AF127" s="53"/>
      <c r="AG127" s="53"/>
    </row>
    <row r="128" spans="2:37" ht="15" customHeight="1" x14ac:dyDescent="0.25">
      <c r="B128" s="135" t="str">
        <f>HYPERLINK("https://www.pbo.gov.au/elections/2025-general-election/2025-election-commitments-costings/Conservation%20Volunteers%20Australia%20%E2%80%93%20support", "ECR-2025-2515")</f>
        <v>ECR-2025-2515</v>
      </c>
      <c r="C128" s="59" t="s">
        <v>130</v>
      </c>
      <c r="D128" s="60">
        <v>-13.5</v>
      </c>
      <c r="E128" s="60">
        <v>-12</v>
      </c>
      <c r="F128" s="60">
        <v>-3</v>
      </c>
      <c r="G128" s="60">
        <v>-3</v>
      </c>
      <c r="H128" s="60">
        <v>0</v>
      </c>
      <c r="I128" s="60">
        <v>0</v>
      </c>
      <c r="J128" s="60">
        <v>0</v>
      </c>
      <c r="K128" s="60">
        <v>0</v>
      </c>
      <c r="L128" s="60">
        <v>0</v>
      </c>
      <c r="M128" s="60">
        <v>0</v>
      </c>
      <c r="N128" s="60">
        <v>0</v>
      </c>
      <c r="O128" s="60">
        <v>-31.5</v>
      </c>
      <c r="P128" s="60">
        <v>-31.5</v>
      </c>
      <c r="Q128" s="61"/>
      <c r="R128" s="61"/>
      <c r="S128" s="59" t="s">
        <v>264</v>
      </c>
      <c r="U128" s="53"/>
      <c r="V128" s="53"/>
      <c r="W128" s="53"/>
      <c r="X128" s="53"/>
      <c r="Y128" s="53"/>
      <c r="Z128" s="53"/>
      <c r="AA128" s="53"/>
      <c r="AB128" s="53"/>
      <c r="AC128" s="53"/>
      <c r="AD128" s="53"/>
      <c r="AE128" s="53"/>
      <c r="AF128" s="53"/>
      <c r="AG128" s="53"/>
    </row>
    <row r="129" spans="2:33" ht="15" customHeight="1" x14ac:dyDescent="0.25">
      <c r="B129" s="135" t="str">
        <f>HYPERLINK("https://www.pbo.gov.au/elections/2025-general-election/2025-election-commitments-costings/Creative-Australia-redirect-towards-Melbourne-Jewish-Arts-Quarter-and-supporting-broadcasting", "ECR-2025-2661")</f>
        <v>ECR-2025-2661</v>
      </c>
      <c r="C129" s="59" t="s">
        <v>347</v>
      </c>
      <c r="D129" s="60">
        <v>33.200000000000003</v>
      </c>
      <c r="E129" s="60">
        <v>2</v>
      </c>
      <c r="F129" s="60">
        <v>1.1000000000000001</v>
      </c>
      <c r="G129" s="60">
        <v>7.5</v>
      </c>
      <c r="H129" s="60">
        <v>0</v>
      </c>
      <c r="I129" s="60">
        <v>0</v>
      </c>
      <c r="J129" s="60">
        <v>0</v>
      </c>
      <c r="K129" s="60">
        <v>0</v>
      </c>
      <c r="L129" s="60">
        <v>0</v>
      </c>
      <c r="M129" s="60">
        <v>0</v>
      </c>
      <c r="N129" s="60">
        <v>0</v>
      </c>
      <c r="O129" s="60">
        <v>43.8</v>
      </c>
      <c r="P129" s="60">
        <v>43.8</v>
      </c>
      <c r="Q129" s="61"/>
      <c r="R129" s="61"/>
      <c r="S129" s="59" t="s">
        <v>261</v>
      </c>
      <c r="U129" s="53"/>
      <c r="V129" s="53"/>
      <c r="W129" s="53"/>
      <c r="X129" s="53"/>
      <c r="Y129" s="53"/>
      <c r="Z129" s="53"/>
      <c r="AA129" s="53"/>
      <c r="AB129" s="53"/>
      <c r="AC129" s="53"/>
      <c r="AD129" s="53"/>
      <c r="AE129" s="53"/>
      <c r="AF129" s="53"/>
      <c r="AG129" s="53"/>
    </row>
    <row r="130" spans="2:33" ht="15" customHeight="1" x14ac:dyDescent="0.25">
      <c r="B130" s="135" t="str">
        <f>HYPERLINK("https://www.pbo.gov.au/elections/2025-general-election/2025-election-commitments-costings/Domestic%20violence%20community%20training%20grant%20program", "ECR-2025-2162")</f>
        <v>ECR-2025-2162</v>
      </c>
      <c r="C130" s="59" t="s">
        <v>429</v>
      </c>
      <c r="D130" s="60">
        <v>-2.5</v>
      </c>
      <c r="E130" s="60">
        <v>-2.5</v>
      </c>
      <c r="F130" s="60">
        <v>-2.5</v>
      </c>
      <c r="G130" s="60">
        <v>-2.5</v>
      </c>
      <c r="H130" s="60">
        <v>0</v>
      </c>
      <c r="I130" s="60">
        <v>0</v>
      </c>
      <c r="J130" s="60">
        <v>0</v>
      </c>
      <c r="K130" s="60">
        <v>0</v>
      </c>
      <c r="L130" s="60">
        <v>0</v>
      </c>
      <c r="M130" s="60">
        <v>0</v>
      </c>
      <c r="N130" s="60">
        <v>0</v>
      </c>
      <c r="O130" s="60">
        <v>-10</v>
      </c>
      <c r="P130" s="60">
        <v>-10</v>
      </c>
      <c r="Q130" s="61"/>
      <c r="R130" s="61"/>
      <c r="S130" s="59" t="s">
        <v>271</v>
      </c>
      <c r="U130" s="53"/>
      <c r="V130" s="53"/>
      <c r="W130" s="53"/>
      <c r="X130" s="53"/>
      <c r="Y130" s="53"/>
      <c r="Z130" s="53"/>
      <c r="AA130" s="53"/>
      <c r="AB130" s="53"/>
      <c r="AC130" s="53"/>
      <c r="AD130" s="53"/>
      <c r="AE130" s="53"/>
      <c r="AF130" s="53"/>
      <c r="AG130" s="53"/>
    </row>
    <row r="131" spans="2:33" ht="15" customHeight="1" x14ac:dyDescent="0.25">
      <c r="B131" s="135" t="str">
        <f>HYPERLINK("https://www.pbo.gov.au/elections/2025-general-election/2025-election-commitments-costings/Driver-Reviver-site-upgrades", "ECR-2025-2190")</f>
        <v>ECR-2025-2190</v>
      </c>
      <c r="C131" s="59" t="s">
        <v>135</v>
      </c>
      <c r="D131" s="60">
        <v>-3.4</v>
      </c>
      <c r="E131" s="60">
        <v>-3.3</v>
      </c>
      <c r="F131" s="60">
        <v>-3.3</v>
      </c>
      <c r="G131" s="60">
        <v>0</v>
      </c>
      <c r="H131" s="60">
        <v>0</v>
      </c>
      <c r="I131" s="60">
        <v>0</v>
      </c>
      <c r="J131" s="60">
        <v>0</v>
      </c>
      <c r="K131" s="60">
        <v>0</v>
      </c>
      <c r="L131" s="60">
        <v>0</v>
      </c>
      <c r="M131" s="60">
        <v>0</v>
      </c>
      <c r="N131" s="60">
        <v>0</v>
      </c>
      <c r="O131" s="60">
        <v>-10</v>
      </c>
      <c r="P131" s="60">
        <v>-10</v>
      </c>
      <c r="Q131" s="61"/>
      <c r="R131" s="61"/>
      <c r="S131" s="59" t="s">
        <v>272</v>
      </c>
      <c r="U131" s="53"/>
      <c r="V131" s="53"/>
      <c r="W131" s="53"/>
      <c r="X131" s="53"/>
      <c r="Y131" s="53"/>
      <c r="Z131" s="53"/>
      <c r="AA131" s="53"/>
      <c r="AB131" s="53"/>
      <c r="AC131" s="53"/>
      <c r="AD131" s="53"/>
      <c r="AE131" s="53"/>
      <c r="AF131" s="53"/>
      <c r="AG131" s="53"/>
    </row>
    <row r="132" spans="2:33" ht="15" customHeight="1" x14ac:dyDescent="0.25">
      <c r="B132" s="135" t="str">
        <f>HYPERLINK("https://www.pbo.gov.au/elections/2025-general-election/2025-election-commitments-costings/drug-detection-and-screening-infrastructure-investment", "ECR-2025-2611")</f>
        <v>ECR-2025-2611</v>
      </c>
      <c r="C132" s="59" t="s">
        <v>191</v>
      </c>
      <c r="D132" s="60">
        <v>-17.7</v>
      </c>
      <c r="E132" s="60">
        <v>-17.3</v>
      </c>
      <c r="F132" s="60">
        <v>-17.2</v>
      </c>
      <c r="G132" s="60">
        <v>0</v>
      </c>
      <c r="H132" s="60">
        <v>0</v>
      </c>
      <c r="I132" s="60">
        <v>0</v>
      </c>
      <c r="J132" s="60">
        <v>0</v>
      </c>
      <c r="K132" s="60">
        <v>0</v>
      </c>
      <c r="L132" s="60">
        <v>0</v>
      </c>
      <c r="M132" s="60">
        <v>0</v>
      </c>
      <c r="N132" s="60">
        <v>0</v>
      </c>
      <c r="O132" s="60">
        <v>-52.2</v>
      </c>
      <c r="P132" s="60">
        <v>-52.2</v>
      </c>
      <c r="Q132" s="61"/>
      <c r="R132" s="61"/>
      <c r="S132" s="59" t="s">
        <v>273</v>
      </c>
      <c r="U132" s="53"/>
      <c r="V132" s="53"/>
      <c r="W132" s="53"/>
      <c r="X132" s="53"/>
      <c r="Y132" s="53"/>
      <c r="Z132" s="53"/>
      <c r="AA132" s="53"/>
      <c r="AB132" s="53"/>
      <c r="AC132" s="53"/>
      <c r="AD132" s="53"/>
      <c r="AE132" s="53"/>
      <c r="AF132" s="53"/>
      <c r="AG132" s="53"/>
    </row>
    <row r="133" spans="2:33" ht="15" customHeight="1" x14ac:dyDescent="0.25">
      <c r="B133" s="59" t="s">
        <v>106</v>
      </c>
      <c r="C133" s="59" t="s">
        <v>401</v>
      </c>
      <c r="D133" s="60">
        <v>0</v>
      </c>
      <c r="E133" s="60">
        <v>0</v>
      </c>
      <c r="F133" s="60">
        <v>0</v>
      </c>
      <c r="G133" s="60">
        <v>0</v>
      </c>
      <c r="H133" s="60">
        <v>0</v>
      </c>
      <c r="I133" s="60">
        <v>0</v>
      </c>
      <c r="J133" s="60">
        <v>0</v>
      </c>
      <c r="K133" s="60">
        <v>0</v>
      </c>
      <c r="L133" s="60">
        <v>0</v>
      </c>
      <c r="M133" s="60">
        <v>0</v>
      </c>
      <c r="N133" s="60">
        <v>0</v>
      </c>
      <c r="O133" s="60">
        <v>0</v>
      </c>
      <c r="P133" s="60">
        <v>0</v>
      </c>
      <c r="Q133" s="61"/>
      <c r="R133" s="61"/>
      <c r="S133" s="59" t="s">
        <v>261</v>
      </c>
      <c r="U133" s="53"/>
      <c r="V133" s="53"/>
      <c r="W133" s="53"/>
      <c r="X133" s="53"/>
      <c r="Y133" s="53"/>
      <c r="Z133" s="53"/>
      <c r="AA133" s="53"/>
      <c r="AB133" s="53"/>
      <c r="AC133" s="53"/>
      <c r="AD133" s="53"/>
      <c r="AE133" s="53"/>
      <c r="AF133" s="53"/>
      <c r="AG133" s="53"/>
    </row>
    <row r="134" spans="2:33" ht="15" customHeight="1" x14ac:dyDescent="0.25">
      <c r="B134" s="135" t="str">
        <f>HYPERLINK("https://www.pbo.gov.au/elections/2025-general-election/2025-election-commitments-costings/Expanding%20the%20PPP500%20Scheme%20to%20support%20vulnerable%20parties%20seeking%20a%20property%20settlement", "ECR-2025-2685")</f>
        <v>ECR-2025-2685</v>
      </c>
      <c r="C134" s="59" t="s">
        <v>139</v>
      </c>
      <c r="D134" s="60">
        <v>-6.8</v>
      </c>
      <c r="E134" s="60">
        <v>-6.8</v>
      </c>
      <c r="F134" s="60">
        <v>-6.9</v>
      </c>
      <c r="G134" s="60">
        <v>-6.9</v>
      </c>
      <c r="H134" s="60">
        <v>-6.9</v>
      </c>
      <c r="I134" s="60">
        <v>-6.9</v>
      </c>
      <c r="J134" s="60">
        <v>-6.9</v>
      </c>
      <c r="K134" s="60">
        <v>-6.9</v>
      </c>
      <c r="L134" s="60">
        <v>-6.9</v>
      </c>
      <c r="M134" s="60">
        <v>-6.9</v>
      </c>
      <c r="N134" s="60">
        <v>-6.9</v>
      </c>
      <c r="O134" s="60">
        <v>-27.4</v>
      </c>
      <c r="P134" s="60">
        <v>-75.7</v>
      </c>
      <c r="Q134" s="61"/>
      <c r="R134" s="61"/>
      <c r="S134" s="59" t="s">
        <v>266</v>
      </c>
      <c r="U134" s="53"/>
      <c r="V134" s="53"/>
      <c r="W134" s="53"/>
      <c r="X134" s="53"/>
      <c r="Y134" s="53"/>
      <c r="Z134" s="53"/>
      <c r="AA134" s="53"/>
      <c r="AB134" s="53"/>
      <c r="AC134" s="53"/>
      <c r="AD134" s="53"/>
      <c r="AE134" s="53"/>
      <c r="AF134" s="53"/>
      <c r="AG134" s="53"/>
    </row>
    <row r="135" spans="2:33" ht="15" customHeight="1" x14ac:dyDescent="0.25">
      <c r="B135" s="135" t="str">
        <f>HYPERLINK("https://www.pbo.gov.au/elections/2025-general-election/2025-election-commitments-costings/extend-domestic-family-and-sexual-violence-commissions-terms-reference", "ECR-2025-2825")</f>
        <v>ECR-2025-2825</v>
      </c>
      <c r="C135" s="59" t="s">
        <v>430</v>
      </c>
      <c r="D135" s="60">
        <v>-2.2999999999999998</v>
      </c>
      <c r="E135" s="60">
        <v>-2.4</v>
      </c>
      <c r="F135" s="60">
        <v>-2.4</v>
      </c>
      <c r="G135" s="60">
        <v>-2.4</v>
      </c>
      <c r="H135" s="60">
        <v>-2.4</v>
      </c>
      <c r="I135" s="60">
        <v>-2.5</v>
      </c>
      <c r="J135" s="60">
        <v>-2.5</v>
      </c>
      <c r="K135" s="60">
        <v>-2.5</v>
      </c>
      <c r="L135" s="60">
        <v>-2.6</v>
      </c>
      <c r="M135" s="60">
        <v>-2.6</v>
      </c>
      <c r="N135" s="60">
        <v>-2.6</v>
      </c>
      <c r="O135" s="60">
        <v>-9.5</v>
      </c>
      <c r="P135" s="60">
        <v>-27.2</v>
      </c>
      <c r="Q135" s="61"/>
      <c r="R135" s="61"/>
      <c r="S135" s="59" t="s">
        <v>266</v>
      </c>
      <c r="U135" s="53"/>
      <c r="V135" s="53"/>
      <c r="W135" s="53"/>
      <c r="X135" s="53"/>
      <c r="Y135" s="53"/>
      <c r="Z135" s="53"/>
      <c r="AA135" s="53"/>
      <c r="AB135" s="53"/>
      <c r="AC135" s="53"/>
      <c r="AD135" s="53"/>
      <c r="AE135" s="53"/>
      <c r="AF135" s="53"/>
      <c r="AG135" s="53"/>
    </row>
    <row r="136" spans="2:33" ht="15" customHeight="1" x14ac:dyDescent="0.25">
      <c r="B136" s="59" t="s">
        <v>109</v>
      </c>
      <c r="C136" s="59" t="s">
        <v>402</v>
      </c>
      <c r="D136" s="60">
        <v>0</v>
      </c>
      <c r="E136" s="60">
        <v>0</v>
      </c>
      <c r="F136" s="60">
        <v>0</v>
      </c>
      <c r="G136" s="60">
        <v>0</v>
      </c>
      <c r="H136" s="60">
        <v>0</v>
      </c>
      <c r="I136" s="60">
        <v>0</v>
      </c>
      <c r="J136" s="60">
        <v>0</v>
      </c>
      <c r="K136" s="60">
        <v>0</v>
      </c>
      <c r="L136" s="60">
        <v>0</v>
      </c>
      <c r="M136" s="60">
        <v>0</v>
      </c>
      <c r="N136" s="60">
        <v>0</v>
      </c>
      <c r="O136" s="60">
        <v>0</v>
      </c>
      <c r="P136" s="60">
        <v>0</v>
      </c>
      <c r="Q136" s="61"/>
      <c r="R136" s="61"/>
      <c r="S136" s="59" t="s">
        <v>274</v>
      </c>
      <c r="U136" s="53"/>
      <c r="V136" s="53"/>
      <c r="W136" s="53"/>
      <c r="X136" s="53"/>
      <c r="Y136" s="53"/>
      <c r="Z136" s="53"/>
      <c r="AA136" s="53"/>
      <c r="AB136" s="53"/>
      <c r="AC136" s="53"/>
      <c r="AD136" s="53"/>
      <c r="AE136" s="53"/>
      <c r="AF136" s="53"/>
      <c r="AG136" s="53"/>
    </row>
    <row r="137" spans="2:33" ht="15" customHeight="1" x14ac:dyDescent="0.25">
      <c r="B137" s="135" t="str">
        <f>HYPERLINK("https://www.pbo.gov.au/elections/2025-general-election/2025-election-commitments-costings/Fast%20Track%20scheme%20within%20the%20Administrative%20Review%20Tribunal%20%E2%80%93%202%20year%20trial", "ECR-2025-2742")</f>
        <v>ECR-2025-2742</v>
      </c>
      <c r="C137" s="59" t="s">
        <v>199</v>
      </c>
      <c r="D137" s="60">
        <v>-2</v>
      </c>
      <c r="E137" s="60">
        <v>-5</v>
      </c>
      <c r="F137" s="60">
        <v>-4.5</v>
      </c>
      <c r="G137" s="60">
        <v>0</v>
      </c>
      <c r="H137" s="60">
        <v>0</v>
      </c>
      <c r="I137" s="60">
        <v>0</v>
      </c>
      <c r="J137" s="60">
        <v>0</v>
      </c>
      <c r="K137" s="60">
        <v>0</v>
      </c>
      <c r="L137" s="60">
        <v>0</v>
      </c>
      <c r="M137" s="60">
        <v>0</v>
      </c>
      <c r="N137" s="60">
        <v>0</v>
      </c>
      <c r="O137" s="60">
        <v>-11.5</v>
      </c>
      <c r="P137" s="60">
        <v>-11.5</v>
      </c>
      <c r="Q137" s="61"/>
      <c r="R137" s="61"/>
      <c r="S137" s="59" t="s">
        <v>263</v>
      </c>
      <c r="U137" s="53"/>
      <c r="V137" s="53"/>
      <c r="W137" s="53"/>
      <c r="X137" s="53"/>
      <c r="Y137" s="53"/>
      <c r="Z137" s="53"/>
      <c r="AA137" s="53"/>
      <c r="AB137" s="53"/>
      <c r="AC137" s="53"/>
      <c r="AD137" s="53"/>
      <c r="AE137" s="53"/>
      <c r="AF137" s="53"/>
      <c r="AG137" s="53"/>
    </row>
    <row r="138" spans="2:33" ht="15" customHeight="1" x14ac:dyDescent="0.25">
      <c r="B138" s="135" t="str">
        <f>HYPERLINK("https://www.pbo.gov.au/elections/2025-general-election/2025-election-commitments-costings/Funding%20for%20Makarrata%2C%20Treaty%20and%20%E2%80%98Truth%20Telling%E2%80%99%20%E2%80%93%20redirect%20to%20Indigenous%20Affairs%20priorities", "ECR-2025-2342")</f>
        <v>ECR-2025-2342</v>
      </c>
      <c r="C138" s="59" t="s">
        <v>132</v>
      </c>
      <c r="D138" s="60">
        <v>26</v>
      </c>
      <c r="E138" s="60">
        <v>0</v>
      </c>
      <c r="F138" s="60">
        <v>0</v>
      </c>
      <c r="G138" s="60">
        <v>0</v>
      </c>
      <c r="H138" s="60">
        <v>0</v>
      </c>
      <c r="I138" s="60">
        <v>0</v>
      </c>
      <c r="J138" s="60">
        <v>0</v>
      </c>
      <c r="K138" s="60">
        <v>0</v>
      </c>
      <c r="L138" s="60">
        <v>0</v>
      </c>
      <c r="M138" s="60">
        <v>0</v>
      </c>
      <c r="N138" s="60">
        <v>0</v>
      </c>
      <c r="O138" s="60">
        <v>26</v>
      </c>
      <c r="P138" s="60">
        <v>26</v>
      </c>
      <c r="Q138" s="61"/>
      <c r="R138" s="61"/>
      <c r="S138" s="59" t="s">
        <v>261</v>
      </c>
      <c r="U138" s="53"/>
      <c r="V138" s="53"/>
      <c r="W138" s="53"/>
      <c r="X138" s="53"/>
      <c r="Y138" s="53"/>
      <c r="Z138" s="53"/>
      <c r="AA138" s="53"/>
      <c r="AB138" s="53"/>
      <c r="AC138" s="53"/>
      <c r="AD138" s="53"/>
      <c r="AE138" s="53"/>
      <c r="AF138" s="53"/>
      <c r="AG138" s="53"/>
    </row>
    <row r="139" spans="2:33" ht="15" customHeight="1" x14ac:dyDescent="0.25">
      <c r="B139" s="135" t="str">
        <f>HYPERLINK("https://www.pbo.gov.au/elections/2025-general-election/2025-election-commitments-costings/headstone-project-deductible-gift-recipient-status", "ECR-2025-2336")</f>
        <v>ECR-2025-2336</v>
      </c>
      <c r="C139" s="59" t="s">
        <v>431</v>
      </c>
      <c r="D139" s="60">
        <v>0</v>
      </c>
      <c r="E139" s="60" t="s">
        <v>12</v>
      </c>
      <c r="F139" s="60" t="s">
        <v>12</v>
      </c>
      <c r="G139" s="60" t="s">
        <v>12</v>
      </c>
      <c r="H139" s="60" t="s">
        <v>12</v>
      </c>
      <c r="I139" s="60" t="s">
        <v>12</v>
      </c>
      <c r="J139" s="60" t="s">
        <v>12</v>
      </c>
      <c r="K139" s="60" t="s">
        <v>12</v>
      </c>
      <c r="L139" s="60" t="s">
        <v>12</v>
      </c>
      <c r="M139" s="60" t="s">
        <v>12</v>
      </c>
      <c r="N139" s="60" t="s">
        <v>12</v>
      </c>
      <c r="O139" s="60">
        <v>0</v>
      </c>
      <c r="P139" s="60">
        <v>0</v>
      </c>
      <c r="Q139" s="61"/>
      <c r="R139" s="61"/>
      <c r="S139" s="59" t="s">
        <v>275</v>
      </c>
      <c r="U139" s="53"/>
      <c r="V139" s="53"/>
      <c r="W139" s="53"/>
      <c r="X139" s="53"/>
      <c r="Y139" s="53"/>
      <c r="Z139" s="53"/>
      <c r="AA139" s="53"/>
      <c r="AB139" s="53"/>
      <c r="AC139" s="53"/>
      <c r="AD139" s="53"/>
      <c r="AE139" s="53"/>
      <c r="AF139" s="53"/>
      <c r="AG139" s="53"/>
    </row>
    <row r="140" spans="2:33" ht="15" customHeight="1" x14ac:dyDescent="0.25">
      <c r="B140" s="135" t="str">
        <f>HYPERLINK("https://www.pbo.gov.au/elections/2025-general-election/2025-election-commitments-costings/increase-defence-spending-including-investing-fourth-F-35A-lightning-squadron", "ECR-2025-2734")</f>
        <v>ECR-2025-2734</v>
      </c>
      <c r="C140" s="59" t="s">
        <v>432</v>
      </c>
      <c r="D140" s="60">
        <v>-200</v>
      </c>
      <c r="E140" s="60">
        <v>-2950</v>
      </c>
      <c r="F140" s="60">
        <v>-3850</v>
      </c>
      <c r="G140" s="60">
        <v>-5700</v>
      </c>
      <c r="H140" s="60">
        <v>-7920</v>
      </c>
      <c r="I140" s="60">
        <v>-11510</v>
      </c>
      <c r="J140" s="60">
        <v>-15450</v>
      </c>
      <c r="K140" s="60">
        <v>-20420</v>
      </c>
      <c r="L140" s="60">
        <v>-25510</v>
      </c>
      <c r="M140" s="60">
        <v>-30700</v>
      </c>
      <c r="N140" s="60">
        <v>-32220</v>
      </c>
      <c r="O140" s="60">
        <v>-12700</v>
      </c>
      <c r="P140" s="60">
        <v>-156430</v>
      </c>
      <c r="Q140" s="61"/>
      <c r="R140" s="61"/>
      <c r="S140" s="59" t="s">
        <v>276</v>
      </c>
      <c r="U140" s="53"/>
      <c r="V140" s="53"/>
      <c r="W140" s="53"/>
      <c r="X140" s="53"/>
      <c r="Y140" s="53"/>
      <c r="Z140" s="53"/>
      <c r="AA140" s="53"/>
      <c r="AB140" s="53"/>
      <c r="AC140" s="53"/>
      <c r="AD140" s="53"/>
      <c r="AE140" s="53"/>
      <c r="AF140" s="53"/>
      <c r="AG140" s="53"/>
    </row>
    <row r="141" spans="2:33" ht="15" customHeight="1" x14ac:dyDescent="0.25">
      <c r="B141" s="135" t="str">
        <f>HYPERLINK("https://www.pbo.gov.au/elections/2025-general-election/2025-election-commitments-costings/Indigenous%20Advancement%20Strategy%20%E2%80%93%20reallocations", "ECR-2025-2385")</f>
        <v>ECR-2025-2385</v>
      </c>
      <c r="C141" s="59" t="s">
        <v>226</v>
      </c>
      <c r="D141" s="60">
        <v>14.9</v>
      </c>
      <c r="E141" s="60">
        <v>4.5999999999999996</v>
      </c>
      <c r="F141" s="60">
        <v>4.5999999999999996</v>
      </c>
      <c r="G141" s="60">
        <v>4.7</v>
      </c>
      <c r="H141" s="60">
        <v>4.7</v>
      </c>
      <c r="I141" s="60">
        <v>4.7</v>
      </c>
      <c r="J141" s="60">
        <v>4.7</v>
      </c>
      <c r="K141" s="60">
        <v>4.7</v>
      </c>
      <c r="L141" s="60">
        <v>4.7</v>
      </c>
      <c r="M141" s="60">
        <v>4.7</v>
      </c>
      <c r="N141" s="60">
        <v>4.7</v>
      </c>
      <c r="O141" s="60">
        <v>28.8</v>
      </c>
      <c r="P141" s="60">
        <v>61.7</v>
      </c>
      <c r="Q141" s="61"/>
      <c r="R141" s="61"/>
      <c r="S141" s="59" t="s">
        <v>261</v>
      </c>
      <c r="U141" s="53"/>
      <c r="V141" s="53"/>
      <c r="W141" s="53"/>
      <c r="X141" s="53"/>
      <c r="Y141" s="53"/>
      <c r="Z141" s="53"/>
      <c r="AA141" s="53"/>
      <c r="AB141" s="53"/>
      <c r="AC141" s="53"/>
      <c r="AD141" s="53"/>
      <c r="AE141" s="53"/>
      <c r="AF141" s="53"/>
      <c r="AG141" s="53"/>
    </row>
    <row r="142" spans="2:33" ht="15" customHeight="1" x14ac:dyDescent="0.25">
      <c r="B142" s="135" t="str">
        <f>HYPERLINK("https://www.pbo.gov.au/elections/2025-general-election/2025-election-commitments-costings/Investing%20in%20safer%20and%20more%20connected%20communities", "ECR-2025-2352")</f>
        <v>ECR-2025-2352</v>
      </c>
      <c r="C142" s="59" t="s">
        <v>225</v>
      </c>
      <c r="D142" s="60">
        <v>-54.8</v>
      </c>
      <c r="E142" s="60">
        <v>-35.9</v>
      </c>
      <c r="F142" s="60">
        <v>-15.6</v>
      </c>
      <c r="G142" s="60">
        <v>0</v>
      </c>
      <c r="H142" s="60">
        <v>0</v>
      </c>
      <c r="I142" s="60">
        <v>0</v>
      </c>
      <c r="J142" s="60">
        <v>0</v>
      </c>
      <c r="K142" s="60">
        <v>0</v>
      </c>
      <c r="L142" s="60">
        <v>0</v>
      </c>
      <c r="M142" s="60">
        <v>0</v>
      </c>
      <c r="N142" s="60">
        <v>0</v>
      </c>
      <c r="O142" s="60">
        <v>-106.3</v>
      </c>
      <c r="P142" s="60">
        <v>-106.3</v>
      </c>
      <c r="Q142" s="61"/>
      <c r="R142" s="61"/>
      <c r="S142" s="59" t="s">
        <v>261</v>
      </c>
      <c r="U142" s="53"/>
      <c r="V142" s="53"/>
      <c r="W142" s="53"/>
      <c r="X142" s="53"/>
      <c r="Y142" s="53"/>
      <c r="Z142" s="53"/>
      <c r="AA142" s="53"/>
      <c r="AB142" s="53"/>
      <c r="AC142" s="53"/>
      <c r="AD142" s="53"/>
      <c r="AE142" s="53"/>
      <c r="AF142" s="53"/>
      <c r="AG142" s="53"/>
    </row>
    <row r="143" spans="2:33" ht="15" customHeight="1" x14ac:dyDescent="0.25">
      <c r="B143" s="135" t="str">
        <f>HYPERLINK("https://www.pbo.gov.au/elections/2025-general-election/2025-election-commitments-costings/invictus-games-support", "ECR-2025-2502")</f>
        <v>ECR-2025-2502</v>
      </c>
      <c r="C143" s="59" t="s">
        <v>127</v>
      </c>
      <c r="D143" s="60">
        <v>-2.4</v>
      </c>
      <c r="E143" s="60">
        <v>-5.8</v>
      </c>
      <c r="F143" s="60">
        <v>0</v>
      </c>
      <c r="G143" s="60">
        <v>0</v>
      </c>
      <c r="H143" s="60">
        <v>0</v>
      </c>
      <c r="I143" s="60">
        <v>0</v>
      </c>
      <c r="J143" s="60">
        <v>0</v>
      </c>
      <c r="K143" s="60">
        <v>0</v>
      </c>
      <c r="L143" s="60">
        <v>0</v>
      </c>
      <c r="M143" s="60">
        <v>0</v>
      </c>
      <c r="N143" s="60">
        <v>0</v>
      </c>
      <c r="O143" s="60">
        <v>-8.1999999999999993</v>
      </c>
      <c r="P143" s="60">
        <v>-8.1999999999999993</v>
      </c>
      <c r="Q143" s="61"/>
      <c r="R143" s="61"/>
      <c r="S143" s="59" t="s">
        <v>277</v>
      </c>
      <c r="U143" s="53"/>
      <c r="V143" s="53"/>
      <c r="W143" s="53"/>
      <c r="X143" s="53"/>
      <c r="Y143" s="53"/>
      <c r="Z143" s="53"/>
      <c r="AA143" s="53"/>
      <c r="AB143" s="53"/>
      <c r="AC143" s="53"/>
      <c r="AD143" s="53"/>
      <c r="AE143" s="53"/>
      <c r="AF143" s="53"/>
      <c r="AG143" s="53"/>
    </row>
    <row r="144" spans="2:33" ht="15" customHeight="1" x14ac:dyDescent="0.25">
      <c r="B144" s="135" t="str">
        <f>HYPERLINK("https://www.pbo.gov.au/elections/2025-general-election/2025-election-commitments-costings/joint-taskforce-investigate-union-corruption-and-links-organised-crime-construction-industry", "ECR-2025-2726")</f>
        <v>ECR-2025-2726</v>
      </c>
      <c r="C144" s="59" t="s">
        <v>140</v>
      </c>
      <c r="D144" s="60">
        <v>-6</v>
      </c>
      <c r="E144" s="60">
        <v>-6.1</v>
      </c>
      <c r="F144" s="60">
        <v>-6.2</v>
      </c>
      <c r="G144" s="60">
        <v>0</v>
      </c>
      <c r="H144" s="60">
        <v>0</v>
      </c>
      <c r="I144" s="60">
        <v>0</v>
      </c>
      <c r="J144" s="60">
        <v>0</v>
      </c>
      <c r="K144" s="60">
        <v>0</v>
      </c>
      <c r="L144" s="60">
        <v>0</v>
      </c>
      <c r="M144" s="60">
        <v>0</v>
      </c>
      <c r="N144" s="60">
        <v>0</v>
      </c>
      <c r="O144" s="60">
        <v>-18.3</v>
      </c>
      <c r="P144" s="60">
        <v>-18.3</v>
      </c>
      <c r="Q144" s="61"/>
      <c r="R144" s="61"/>
      <c r="S144" s="59" t="s">
        <v>278</v>
      </c>
      <c r="U144" s="53"/>
      <c r="V144" s="53"/>
      <c r="W144" s="53"/>
      <c r="X144" s="53"/>
      <c r="Y144" s="53"/>
      <c r="Z144" s="53"/>
      <c r="AA144" s="53"/>
      <c r="AB144" s="53"/>
      <c r="AC144" s="53"/>
      <c r="AD144" s="53"/>
      <c r="AE144" s="53"/>
      <c r="AF144" s="53"/>
      <c r="AG144" s="53"/>
    </row>
    <row r="145" spans="2:33" ht="15" customHeight="1" x14ac:dyDescent="0.25">
      <c r="B145" s="135" t="str">
        <f>HYPERLINK("https://www.pbo.gov.au/elections/2025-general-election/2025-election-commitments-costings/Judicial%20inquiry%20into%20anti-Semitism%20at%20universities", "ECR-2025-2582")</f>
        <v>ECR-2025-2582</v>
      </c>
      <c r="C145" s="59" t="s">
        <v>128</v>
      </c>
      <c r="D145" s="60">
        <v>-4.2</v>
      </c>
      <c r="E145" s="60">
        <v>0</v>
      </c>
      <c r="F145" s="60">
        <v>0</v>
      </c>
      <c r="G145" s="60">
        <v>0</v>
      </c>
      <c r="H145" s="60">
        <v>0</v>
      </c>
      <c r="I145" s="60">
        <v>0</v>
      </c>
      <c r="J145" s="60">
        <v>0</v>
      </c>
      <c r="K145" s="60">
        <v>0</v>
      </c>
      <c r="L145" s="60">
        <v>0</v>
      </c>
      <c r="M145" s="60">
        <v>0</v>
      </c>
      <c r="N145" s="60">
        <v>0</v>
      </c>
      <c r="O145" s="60">
        <v>-4.2</v>
      </c>
      <c r="P145" s="60">
        <v>-4.2</v>
      </c>
      <c r="Q145" s="61"/>
      <c r="R145" s="61"/>
      <c r="S145" s="59" t="s">
        <v>262</v>
      </c>
      <c r="U145" s="53"/>
      <c r="V145" s="53"/>
      <c r="W145" s="53"/>
      <c r="X145" s="53"/>
      <c r="Y145" s="53"/>
      <c r="Z145" s="53"/>
      <c r="AA145" s="53"/>
      <c r="AB145" s="53"/>
      <c r="AC145" s="53"/>
      <c r="AD145" s="53"/>
      <c r="AE145" s="53"/>
      <c r="AF145" s="53"/>
      <c r="AG145" s="53"/>
    </row>
    <row r="146" spans="2:33" ht="15" customHeight="1" x14ac:dyDescent="0.25">
      <c r="B146" s="59" t="s">
        <v>104</v>
      </c>
      <c r="C146" s="59" t="s">
        <v>403</v>
      </c>
      <c r="D146" s="60">
        <v>0</v>
      </c>
      <c r="E146" s="60">
        <v>0</v>
      </c>
      <c r="F146" s="60">
        <v>0</v>
      </c>
      <c r="G146" s="60">
        <v>0</v>
      </c>
      <c r="H146" s="60">
        <v>0</v>
      </c>
      <c r="I146" s="60">
        <v>0</v>
      </c>
      <c r="J146" s="60">
        <v>0</v>
      </c>
      <c r="K146" s="60">
        <v>0</v>
      </c>
      <c r="L146" s="60">
        <v>0</v>
      </c>
      <c r="M146" s="60">
        <v>0</v>
      </c>
      <c r="N146" s="60">
        <v>0</v>
      </c>
      <c r="O146" s="60">
        <v>0</v>
      </c>
      <c r="P146" s="60">
        <v>0</v>
      </c>
      <c r="Q146" s="61"/>
      <c r="R146" s="61"/>
      <c r="S146" s="59" t="s">
        <v>279</v>
      </c>
      <c r="U146" s="53"/>
      <c r="V146" s="53"/>
      <c r="W146" s="53"/>
      <c r="X146" s="53"/>
      <c r="Y146" s="53"/>
      <c r="Z146" s="53"/>
      <c r="AA146" s="53"/>
      <c r="AB146" s="53"/>
      <c r="AC146" s="53"/>
      <c r="AD146" s="53"/>
      <c r="AE146" s="53"/>
      <c r="AF146" s="53"/>
      <c r="AG146" s="53"/>
    </row>
    <row r="147" spans="2:33" ht="15" customHeight="1" x14ac:dyDescent="0.25">
      <c r="B147" s="135" t="str">
        <f>HYPERLINK("https://www.pbo.gov.au/elections/2025-general-election/2025-election-commitments-costings/Men%27s-mental-health-additional-support-Movember-and-Men%27s-Sheds", "ECR-2025-2268")</f>
        <v>ECR-2025-2268</v>
      </c>
      <c r="C147" s="59" t="s">
        <v>131</v>
      </c>
      <c r="D147" s="60">
        <v>-8</v>
      </c>
      <c r="E147" s="60">
        <v>-8</v>
      </c>
      <c r="F147" s="60">
        <v>-8</v>
      </c>
      <c r="G147" s="60">
        <v>-8</v>
      </c>
      <c r="H147" s="60">
        <v>0</v>
      </c>
      <c r="I147" s="60">
        <v>0</v>
      </c>
      <c r="J147" s="60">
        <v>0</v>
      </c>
      <c r="K147" s="60">
        <v>0</v>
      </c>
      <c r="L147" s="60">
        <v>0</v>
      </c>
      <c r="M147" s="60">
        <v>0</v>
      </c>
      <c r="N147" s="60">
        <v>0</v>
      </c>
      <c r="O147" s="60">
        <v>-32</v>
      </c>
      <c r="P147" s="60">
        <v>-32</v>
      </c>
      <c r="Q147" s="61"/>
      <c r="R147" s="61"/>
      <c r="S147" s="59" t="s">
        <v>280</v>
      </c>
      <c r="U147" s="53"/>
      <c r="V147" s="53"/>
      <c r="W147" s="53"/>
      <c r="X147" s="53"/>
      <c r="Y147" s="53"/>
      <c r="Z147" s="53"/>
      <c r="AA147" s="53"/>
      <c r="AB147" s="53"/>
      <c r="AC147" s="53"/>
      <c r="AD147" s="53"/>
      <c r="AE147" s="53"/>
      <c r="AF147" s="53"/>
      <c r="AG147" s="53"/>
    </row>
    <row r="148" spans="2:33" ht="15" customHeight="1" x14ac:dyDescent="0.25">
      <c r="B148" s="135" t="str">
        <f>HYPERLINK("https://www.pbo.gov.au/elections/2025-general-election/2025-election-commitments-costings/national-child-sex-offender-register-one-year-trial", "ECR-2025-2319")</f>
        <v>ECR-2025-2319</v>
      </c>
      <c r="C148" s="59" t="s">
        <v>136</v>
      </c>
      <c r="D148" s="60">
        <v>-21.3</v>
      </c>
      <c r="E148" s="60">
        <v>0</v>
      </c>
      <c r="F148" s="60">
        <v>0</v>
      </c>
      <c r="G148" s="60">
        <v>0</v>
      </c>
      <c r="H148" s="60">
        <v>0</v>
      </c>
      <c r="I148" s="60">
        <v>0</v>
      </c>
      <c r="J148" s="60">
        <v>0</v>
      </c>
      <c r="K148" s="60">
        <v>0</v>
      </c>
      <c r="L148" s="60">
        <v>0</v>
      </c>
      <c r="M148" s="60">
        <v>0</v>
      </c>
      <c r="N148" s="60">
        <v>0</v>
      </c>
      <c r="O148" s="60">
        <v>-21.3</v>
      </c>
      <c r="P148" s="60">
        <v>-21.3</v>
      </c>
      <c r="Q148" s="64"/>
      <c r="R148" s="64"/>
      <c r="S148" s="59" t="s">
        <v>281</v>
      </c>
      <c r="U148" s="53"/>
      <c r="V148" s="53"/>
      <c r="W148" s="53"/>
      <c r="X148" s="53"/>
      <c r="Y148" s="53"/>
      <c r="Z148" s="53"/>
      <c r="AA148" s="53"/>
      <c r="AB148" s="53"/>
      <c r="AC148" s="53"/>
      <c r="AD148" s="53"/>
      <c r="AE148" s="53"/>
      <c r="AF148" s="53"/>
      <c r="AG148" s="53"/>
    </row>
    <row r="149" spans="2:33" ht="15" customHeight="1" x14ac:dyDescent="0.25">
      <c r="B149" s="135" t="str">
        <f>HYPERLINK("https://www.pbo.gov.au/elections/2025-general-election/2025-election-commitments-costings/national-domestic-violence-register", "ECR-2025-2394")</f>
        <v>ECR-2025-2394</v>
      </c>
      <c r="C149" s="59" t="s">
        <v>227</v>
      </c>
      <c r="D149" s="60">
        <v>-26.3</v>
      </c>
      <c r="E149" s="60">
        <v>-78.099999999999994</v>
      </c>
      <c r="F149" s="60">
        <v>-23.5</v>
      </c>
      <c r="G149" s="60">
        <v>-8.6</v>
      </c>
      <c r="H149" s="60">
        <v>-1.1000000000000001</v>
      </c>
      <c r="I149" s="60">
        <v>-1.1000000000000001</v>
      </c>
      <c r="J149" s="60">
        <v>0</v>
      </c>
      <c r="K149" s="60">
        <v>0</v>
      </c>
      <c r="L149" s="60">
        <v>0</v>
      </c>
      <c r="M149" s="60">
        <v>0</v>
      </c>
      <c r="N149" s="60">
        <v>0</v>
      </c>
      <c r="O149" s="60">
        <v>-136.5</v>
      </c>
      <c r="P149" s="60">
        <v>-138.69999999999999</v>
      </c>
      <c r="Q149" s="64"/>
      <c r="R149" s="64"/>
      <c r="S149" s="59" t="s">
        <v>266</v>
      </c>
      <c r="U149" s="53"/>
      <c r="V149" s="53"/>
      <c r="W149" s="53"/>
      <c r="X149" s="53"/>
      <c r="Y149" s="53"/>
      <c r="Z149" s="53"/>
      <c r="AA149" s="53"/>
      <c r="AB149" s="53"/>
      <c r="AC149" s="53"/>
      <c r="AD149" s="53"/>
      <c r="AE149" s="53"/>
      <c r="AF149" s="53"/>
      <c r="AG149" s="53"/>
    </row>
    <row r="150" spans="2:33" ht="15" customHeight="1" x14ac:dyDescent="0.25">
      <c r="B150" s="135" t="str">
        <f>HYPERLINK("https://www.pbo.gov.au/elections/2025-general-election/2025-election-commitments-costings/national-higher-education-code-prevent-and-respond-anti-semitism", "ECR-2025-2149")</f>
        <v>ECR-2025-2149</v>
      </c>
      <c r="C150" s="59" t="s">
        <v>348</v>
      </c>
      <c r="D150" s="60">
        <v>-8.1</v>
      </c>
      <c r="E150" s="60">
        <v>-3.6</v>
      </c>
      <c r="F150" s="60">
        <v>-3.7</v>
      </c>
      <c r="G150" s="60">
        <v>-3.8</v>
      </c>
      <c r="H150" s="60">
        <v>-3.9</v>
      </c>
      <c r="I150" s="60">
        <v>-4</v>
      </c>
      <c r="J150" s="60">
        <v>-4.0999999999999996</v>
      </c>
      <c r="K150" s="60">
        <v>-4.2</v>
      </c>
      <c r="L150" s="60">
        <v>-4.3</v>
      </c>
      <c r="M150" s="60">
        <v>-4.4000000000000004</v>
      </c>
      <c r="N150" s="60">
        <v>-4.5</v>
      </c>
      <c r="O150" s="60">
        <v>-19.2</v>
      </c>
      <c r="P150" s="60">
        <v>-48.6</v>
      </c>
      <c r="Q150" s="64"/>
      <c r="R150" s="64"/>
      <c r="S150" s="59" t="s">
        <v>261</v>
      </c>
      <c r="U150" s="53"/>
      <c r="V150" s="53"/>
      <c r="W150" s="53"/>
      <c r="X150" s="53"/>
      <c r="Y150" s="53"/>
      <c r="Z150" s="53"/>
      <c r="AA150" s="53"/>
      <c r="AB150" s="53"/>
      <c r="AC150" s="53"/>
      <c r="AD150" s="53"/>
      <c r="AE150" s="53"/>
      <c r="AF150" s="53"/>
      <c r="AG150" s="53"/>
    </row>
    <row r="151" spans="2:33" ht="15" customHeight="1" x14ac:dyDescent="0.25">
      <c r="B151" s="135" t="str">
        <f>HYPERLINK("https://www.pbo.gov.au/elections/2025-general-election/2025-election-commitments-costings/national-leadership-knife-and-youth-crime", "ECR-2025-2851")</f>
        <v>ECR-2025-2851</v>
      </c>
      <c r="C151" s="59" t="s">
        <v>349</v>
      </c>
      <c r="D151" s="60">
        <v>-18.100000000000001</v>
      </c>
      <c r="E151" s="60">
        <v>-11.1</v>
      </c>
      <c r="F151" s="60">
        <v>-0.1</v>
      </c>
      <c r="G151" s="60">
        <v>-0.3</v>
      </c>
      <c r="H151" s="60">
        <v>-0.4</v>
      </c>
      <c r="I151" s="60">
        <v>-0.4</v>
      </c>
      <c r="J151" s="60">
        <v>-0.4</v>
      </c>
      <c r="K151" s="60">
        <v>-0.4</v>
      </c>
      <c r="L151" s="60">
        <v>-0.4</v>
      </c>
      <c r="M151" s="60">
        <v>-0.5</v>
      </c>
      <c r="N151" s="60">
        <v>-0.5</v>
      </c>
      <c r="O151" s="60">
        <v>-29.6</v>
      </c>
      <c r="P151" s="60">
        <v>-32.6</v>
      </c>
      <c r="Q151" s="64"/>
      <c r="R151" s="64"/>
      <c r="S151" s="59" t="s">
        <v>261</v>
      </c>
      <c r="U151" s="53"/>
      <c r="V151" s="53"/>
      <c r="W151" s="53"/>
      <c r="X151" s="53"/>
      <c r="Y151" s="53"/>
      <c r="Z151" s="53"/>
      <c r="AA151" s="53"/>
      <c r="AB151" s="53"/>
      <c r="AC151" s="53"/>
      <c r="AD151" s="53"/>
      <c r="AE151" s="53"/>
      <c r="AF151" s="53"/>
      <c r="AG151" s="53"/>
    </row>
    <row r="152" spans="2:33" ht="15" customHeight="1" x14ac:dyDescent="0.25">
      <c r="B152" s="59" t="s">
        <v>103</v>
      </c>
      <c r="C152" s="59" t="s">
        <v>404</v>
      </c>
      <c r="D152" s="60">
        <v>0</v>
      </c>
      <c r="E152" s="60">
        <v>0</v>
      </c>
      <c r="F152" s="60">
        <v>0</v>
      </c>
      <c r="G152" s="60">
        <v>0</v>
      </c>
      <c r="H152" s="60">
        <v>0</v>
      </c>
      <c r="I152" s="60">
        <v>0</v>
      </c>
      <c r="J152" s="60">
        <v>0</v>
      </c>
      <c r="K152" s="60">
        <v>0</v>
      </c>
      <c r="L152" s="60">
        <v>0</v>
      </c>
      <c r="M152" s="60">
        <v>0</v>
      </c>
      <c r="N152" s="60">
        <v>0</v>
      </c>
      <c r="O152" s="60">
        <v>0</v>
      </c>
      <c r="P152" s="60">
        <v>0</v>
      </c>
      <c r="Q152" s="64"/>
      <c r="R152" s="64"/>
      <c r="S152" s="59" t="s">
        <v>282</v>
      </c>
      <c r="U152" s="53"/>
      <c r="V152" s="53"/>
      <c r="W152" s="53"/>
      <c r="X152" s="53"/>
      <c r="Y152" s="53"/>
      <c r="Z152" s="53"/>
      <c r="AA152" s="53"/>
      <c r="AB152" s="53"/>
      <c r="AC152" s="53"/>
      <c r="AD152" s="53"/>
      <c r="AE152" s="53"/>
      <c r="AF152" s="53"/>
      <c r="AG152" s="53"/>
    </row>
    <row r="153" spans="2:33" ht="15" customHeight="1" x14ac:dyDescent="0.25">
      <c r="B153" s="135" t="str">
        <f>HYPERLINK("https://www.pbo.gov.au/elections/2025-general-election/2025-election-commitments-costings/new-drug-enforcement-taskforce-states-and-territories", "ECR-2025-2240")</f>
        <v>ECR-2025-2240</v>
      </c>
      <c r="C153" s="59" t="s">
        <v>350</v>
      </c>
      <c r="D153" s="60">
        <v>-86.1</v>
      </c>
      <c r="E153" s="60">
        <v>-88.3</v>
      </c>
      <c r="F153" s="60">
        <v>-89.7</v>
      </c>
      <c r="G153" s="60">
        <v>-91.3</v>
      </c>
      <c r="H153" s="60">
        <v>0</v>
      </c>
      <c r="I153" s="60">
        <v>0</v>
      </c>
      <c r="J153" s="60">
        <v>0</v>
      </c>
      <c r="K153" s="60">
        <v>0</v>
      </c>
      <c r="L153" s="60">
        <v>0</v>
      </c>
      <c r="M153" s="60">
        <v>0</v>
      </c>
      <c r="N153" s="60">
        <v>0</v>
      </c>
      <c r="O153" s="60">
        <v>-355.4</v>
      </c>
      <c r="P153" s="60">
        <v>-355.4</v>
      </c>
      <c r="Q153" s="64"/>
      <c r="R153" s="64"/>
      <c r="S153" s="59" t="s">
        <v>263</v>
      </c>
      <c r="U153" s="53"/>
      <c r="V153" s="53"/>
      <c r="W153" s="53"/>
      <c r="X153" s="53"/>
      <c r="Y153" s="53"/>
      <c r="Z153" s="53"/>
      <c r="AA153" s="53"/>
      <c r="AB153" s="53"/>
      <c r="AC153" s="53"/>
      <c r="AD153" s="53"/>
      <c r="AE153" s="53"/>
      <c r="AF153" s="53"/>
      <c r="AG153" s="53"/>
    </row>
    <row r="154" spans="2:33" ht="15" customHeight="1" x14ac:dyDescent="0.25">
      <c r="B154" s="59" t="s">
        <v>105</v>
      </c>
      <c r="C154" s="59" t="s">
        <v>405</v>
      </c>
      <c r="D154" s="60">
        <v>0</v>
      </c>
      <c r="E154" s="60">
        <v>0</v>
      </c>
      <c r="F154" s="60">
        <v>0</v>
      </c>
      <c r="G154" s="60">
        <v>0</v>
      </c>
      <c r="H154" s="60">
        <v>0</v>
      </c>
      <c r="I154" s="60">
        <v>0</v>
      </c>
      <c r="J154" s="60">
        <v>0</v>
      </c>
      <c r="K154" s="60">
        <v>0</v>
      </c>
      <c r="L154" s="60">
        <v>0</v>
      </c>
      <c r="M154" s="60">
        <v>0</v>
      </c>
      <c r="N154" s="60">
        <v>0</v>
      </c>
      <c r="O154" s="60">
        <v>0</v>
      </c>
      <c r="P154" s="60">
        <v>0</v>
      </c>
      <c r="Q154" s="64"/>
      <c r="R154" s="64"/>
      <c r="S154" s="59" t="s">
        <v>283</v>
      </c>
      <c r="U154" s="53"/>
      <c r="V154" s="53"/>
      <c r="W154" s="53"/>
      <c r="X154" s="53"/>
      <c r="Y154" s="53"/>
      <c r="Z154" s="53"/>
      <c r="AA154" s="53"/>
      <c r="AB154" s="53"/>
      <c r="AC154" s="53"/>
      <c r="AD154" s="53"/>
      <c r="AE154" s="53"/>
      <c r="AF154" s="53"/>
      <c r="AG154" s="53"/>
    </row>
    <row r="155" spans="2:33" ht="15" customHeight="1" x14ac:dyDescent="0.25">
      <c r="B155" s="135" t="str">
        <f>HYPERLINK("https://www.pbo.gov.au/elections/2025-general-election/2025-election-commitments-costings/Oceans%20IQ%20%E2%80%93%20supporting%20marine%20education", "ECR-2025-2403")</f>
        <v>ECR-2025-2403</v>
      </c>
      <c r="C155" s="59" t="s">
        <v>351</v>
      </c>
      <c r="D155" s="60">
        <v>-0.2</v>
      </c>
      <c r="E155" s="60">
        <v>0</v>
      </c>
      <c r="F155" s="60">
        <v>0</v>
      </c>
      <c r="G155" s="60">
        <v>0</v>
      </c>
      <c r="H155" s="60">
        <v>0</v>
      </c>
      <c r="I155" s="60">
        <v>0</v>
      </c>
      <c r="J155" s="60">
        <v>0</v>
      </c>
      <c r="K155" s="60">
        <v>0</v>
      </c>
      <c r="L155" s="60">
        <v>0</v>
      </c>
      <c r="M155" s="60">
        <v>0</v>
      </c>
      <c r="N155" s="60">
        <v>0</v>
      </c>
      <c r="O155" s="60">
        <v>-0.2</v>
      </c>
      <c r="P155" s="60">
        <v>-0.2</v>
      </c>
      <c r="Q155" s="64"/>
      <c r="R155" s="64"/>
      <c r="S155" s="59" t="s">
        <v>264</v>
      </c>
      <c r="U155" s="53"/>
      <c r="V155" s="53"/>
      <c r="W155" s="53"/>
      <c r="X155" s="53"/>
      <c r="Y155" s="53"/>
      <c r="Z155" s="53"/>
      <c r="AA155" s="53"/>
      <c r="AB155" s="53"/>
      <c r="AC155" s="53"/>
      <c r="AD155" s="53"/>
      <c r="AE155" s="53"/>
      <c r="AF155" s="53"/>
      <c r="AG155" s="53"/>
    </row>
    <row r="156" spans="2:33" ht="15" customHeight="1" x14ac:dyDescent="0.25">
      <c r="B156" s="135" t="str">
        <f>HYPERLINK("https://www.pbo.gov.au/elections/2025-general-election/2025-election-commitments-costings/Official-Development-Assistance-efficiencies-excluding-Pacific-Indonesia-and-Timor-Leste", "ECR-2025-2392")</f>
        <v>ECR-2025-2392</v>
      </c>
      <c r="C156" s="59" t="s">
        <v>352</v>
      </c>
      <c r="D156" s="60">
        <v>108</v>
      </c>
      <c r="E156" s="60">
        <v>230</v>
      </c>
      <c r="F156" s="60">
        <v>235</v>
      </c>
      <c r="G156" s="60">
        <v>241</v>
      </c>
      <c r="H156" s="60">
        <v>247</v>
      </c>
      <c r="I156" s="60">
        <v>253</v>
      </c>
      <c r="J156" s="60">
        <v>260</v>
      </c>
      <c r="K156" s="60">
        <v>266</v>
      </c>
      <c r="L156" s="60">
        <v>273</v>
      </c>
      <c r="M156" s="60">
        <v>280</v>
      </c>
      <c r="N156" s="60">
        <v>287</v>
      </c>
      <c r="O156" s="60">
        <v>814</v>
      </c>
      <c r="P156" s="60">
        <v>2680</v>
      </c>
      <c r="Q156" s="64"/>
      <c r="R156" s="64"/>
      <c r="S156" s="59" t="s">
        <v>261</v>
      </c>
      <c r="U156" s="53"/>
      <c r="V156" s="53"/>
      <c r="W156" s="53"/>
      <c r="X156" s="53"/>
      <c r="Y156" s="53"/>
      <c r="Z156" s="53"/>
      <c r="AA156" s="53"/>
      <c r="AB156" s="53"/>
      <c r="AC156" s="53"/>
      <c r="AD156" s="53"/>
      <c r="AE156" s="53"/>
      <c r="AF156" s="53"/>
      <c r="AG156" s="53"/>
    </row>
    <row r="157" spans="2:33" ht="15" customHeight="1" x14ac:dyDescent="0.25">
      <c r="B157" s="135" t="str">
        <f>HYPERLINK("https://www.pbo.gov.au/elections/2025-general-election/2025-election-commitments-costings/Overseas%20eligibility%20for%20social%20services%20payments%20%E2%80%93%20reduce%20to%20four%20weeks", "ECR-2025-2621")</f>
        <v>ECR-2025-2621</v>
      </c>
      <c r="C157" s="59" t="s">
        <v>433</v>
      </c>
      <c r="D157" s="60">
        <v>17.399999999999999</v>
      </c>
      <c r="E157" s="60">
        <v>18.2</v>
      </c>
      <c r="F157" s="60">
        <v>18.899999999999999</v>
      </c>
      <c r="G157" s="60">
        <v>19.5</v>
      </c>
      <c r="H157" s="60">
        <v>20.3</v>
      </c>
      <c r="I157" s="60">
        <v>21.1</v>
      </c>
      <c r="J157" s="60">
        <v>22</v>
      </c>
      <c r="K157" s="60">
        <v>22.6</v>
      </c>
      <c r="L157" s="60">
        <v>23.6</v>
      </c>
      <c r="M157" s="60">
        <v>24.6</v>
      </c>
      <c r="N157" s="60">
        <v>25.6</v>
      </c>
      <c r="O157" s="60">
        <v>74.099999999999994</v>
      </c>
      <c r="P157" s="60">
        <v>234.1</v>
      </c>
      <c r="Q157" s="64"/>
      <c r="R157" s="64"/>
      <c r="S157" s="59" t="s">
        <v>261</v>
      </c>
      <c r="U157" s="53"/>
      <c r="V157" s="53"/>
      <c r="W157" s="53"/>
      <c r="X157" s="53"/>
      <c r="Y157" s="53"/>
      <c r="Z157" s="53"/>
      <c r="AA157" s="53"/>
      <c r="AB157" s="53"/>
      <c r="AC157" s="53"/>
      <c r="AD157" s="53"/>
      <c r="AE157" s="53"/>
      <c r="AF157" s="53"/>
      <c r="AG157" s="53"/>
    </row>
    <row r="158" spans="2:33" ht="15" customHeight="1" x14ac:dyDescent="0.25">
      <c r="B158" s="135" t="str">
        <f>HYPERLINK("https://www.pbo.gov.au/elections/2025-general-election/2025-election-commitments-costings/ozfish-supporting-habitat-restoration", "ECR-2025-2195")</f>
        <v>ECR-2025-2195</v>
      </c>
      <c r="C158" s="59" t="s">
        <v>353</v>
      </c>
      <c r="D158" s="60">
        <v>-1.5</v>
      </c>
      <c r="E158" s="60">
        <v>-1.5</v>
      </c>
      <c r="F158" s="60">
        <v>-1.5</v>
      </c>
      <c r="G158" s="60">
        <v>-1.5</v>
      </c>
      <c r="H158" s="60">
        <v>0</v>
      </c>
      <c r="I158" s="60">
        <v>0</v>
      </c>
      <c r="J158" s="60">
        <v>0</v>
      </c>
      <c r="K158" s="60">
        <v>0</v>
      </c>
      <c r="L158" s="60">
        <v>0</v>
      </c>
      <c r="M158" s="60">
        <v>0</v>
      </c>
      <c r="N158" s="60">
        <v>0</v>
      </c>
      <c r="O158" s="60">
        <v>-6</v>
      </c>
      <c r="P158" s="60">
        <v>-6</v>
      </c>
      <c r="Q158" s="64"/>
      <c r="R158" s="64"/>
      <c r="S158" s="59" t="s">
        <v>284</v>
      </c>
      <c r="U158" s="53"/>
      <c r="V158" s="53"/>
      <c r="W158" s="53"/>
      <c r="X158" s="53"/>
      <c r="Y158" s="53"/>
      <c r="Z158" s="53"/>
      <c r="AA158" s="53"/>
      <c r="AB158" s="53"/>
      <c r="AC158" s="53"/>
      <c r="AD158" s="53"/>
      <c r="AE158" s="53"/>
      <c r="AF158" s="53"/>
      <c r="AG158" s="53"/>
    </row>
    <row r="159" spans="2:33" ht="15" customHeight="1" x14ac:dyDescent="0.25">
      <c r="B159" s="135" t="str">
        <f>HYPERLINK("https://www.pbo.gov.au/elections/2025-general-election/2025-election-commitments-costings/Recycling%20mobile%20phones%20to%20assist%20victims%20of%20domestic%20violence", "ECR-2025-2047")</f>
        <v>ECR-2025-2047</v>
      </c>
      <c r="C159" s="59" t="s">
        <v>354</v>
      </c>
      <c r="D159" s="60">
        <v>-0.5</v>
      </c>
      <c r="E159" s="60">
        <v>-0.5</v>
      </c>
      <c r="F159" s="60">
        <v>-0.5</v>
      </c>
      <c r="G159" s="60">
        <v>-0.5</v>
      </c>
      <c r="H159" s="60">
        <v>0</v>
      </c>
      <c r="I159" s="60">
        <v>0</v>
      </c>
      <c r="J159" s="60">
        <v>0</v>
      </c>
      <c r="K159" s="60">
        <v>0</v>
      </c>
      <c r="L159" s="60">
        <v>0</v>
      </c>
      <c r="M159" s="60">
        <v>0</v>
      </c>
      <c r="N159" s="60">
        <v>0</v>
      </c>
      <c r="O159" s="60">
        <v>-2</v>
      </c>
      <c r="P159" s="60">
        <v>-2</v>
      </c>
      <c r="Q159" s="64"/>
      <c r="R159" s="64"/>
      <c r="S159" s="59" t="s">
        <v>285</v>
      </c>
      <c r="U159" s="53"/>
      <c r="V159" s="53"/>
      <c r="W159" s="53"/>
      <c r="X159" s="53"/>
      <c r="Y159" s="53"/>
      <c r="Z159" s="53"/>
      <c r="AA159" s="53"/>
      <c r="AB159" s="53"/>
      <c r="AC159" s="53"/>
      <c r="AD159" s="53"/>
      <c r="AE159" s="53"/>
      <c r="AF159" s="53"/>
      <c r="AG159" s="53"/>
    </row>
    <row r="160" spans="2:33" ht="15" customHeight="1" x14ac:dyDescent="0.25">
      <c r="B160" s="135" t="str">
        <f>HYPERLINK("https://www.pbo.gov.au/elections/2025-general-election/2025-election-commitments-costings/Redtails%20Pinktails%20Right%20Tracks%20program", "ECR-2025-2632")</f>
        <v>ECR-2025-2632</v>
      </c>
      <c r="C160" s="59" t="s">
        <v>355</v>
      </c>
      <c r="D160" s="60">
        <v>-2.8</v>
      </c>
      <c r="E160" s="60">
        <v>-2.8</v>
      </c>
      <c r="F160" s="60">
        <v>-2.8</v>
      </c>
      <c r="G160" s="60">
        <v>-2.8</v>
      </c>
      <c r="H160" s="60">
        <v>-2.8</v>
      </c>
      <c r="I160" s="60">
        <v>-2.8</v>
      </c>
      <c r="J160" s="60">
        <v>-2.8</v>
      </c>
      <c r="K160" s="60">
        <v>-2.8</v>
      </c>
      <c r="L160" s="60">
        <v>-2.8</v>
      </c>
      <c r="M160" s="60">
        <v>-2.8</v>
      </c>
      <c r="N160" s="60">
        <v>-2.8</v>
      </c>
      <c r="O160" s="60">
        <v>-11.2</v>
      </c>
      <c r="P160" s="60">
        <v>-30.8</v>
      </c>
      <c r="Q160" s="64"/>
      <c r="R160" s="64"/>
      <c r="S160" s="59" t="s">
        <v>286</v>
      </c>
      <c r="U160" s="53"/>
      <c r="V160" s="53"/>
      <c r="W160" s="53"/>
      <c r="X160" s="53"/>
      <c r="Y160" s="53"/>
      <c r="Z160" s="53"/>
      <c r="AA160" s="53"/>
      <c r="AB160" s="53"/>
      <c r="AC160" s="53"/>
      <c r="AD160" s="53"/>
      <c r="AE160" s="53"/>
      <c r="AF160" s="53"/>
      <c r="AG160" s="53"/>
    </row>
    <row r="161" spans="2:33" ht="15" customHeight="1" x14ac:dyDescent="0.25">
      <c r="B161" s="135" t="str">
        <f>HYPERLINK("https://www.pbo.gov.au/elections/2025-general-election/2025-election-commitments-costings/Royal%20Commission%20into%20sexual%20abuse%20in%20Indigenous%20communities", "ECR-2025-2010")</f>
        <v>ECR-2025-2010</v>
      </c>
      <c r="C161" s="59" t="s">
        <v>356</v>
      </c>
      <c r="D161" s="60">
        <v>-46.4</v>
      </c>
      <c r="E161" s="60">
        <v>-95.2</v>
      </c>
      <c r="F161" s="60">
        <v>0</v>
      </c>
      <c r="G161" s="60">
        <v>0</v>
      </c>
      <c r="H161" s="60">
        <v>0</v>
      </c>
      <c r="I161" s="60">
        <v>0</v>
      </c>
      <c r="J161" s="60">
        <v>0</v>
      </c>
      <c r="K161" s="60">
        <v>0</v>
      </c>
      <c r="L161" s="60">
        <v>0</v>
      </c>
      <c r="M161" s="60">
        <v>0</v>
      </c>
      <c r="N161" s="60">
        <v>0</v>
      </c>
      <c r="O161" s="60">
        <v>-141.6</v>
      </c>
      <c r="P161" s="60">
        <v>-141.6</v>
      </c>
      <c r="Q161" s="64"/>
      <c r="R161" s="64"/>
      <c r="S161" s="59" t="s">
        <v>266</v>
      </c>
      <c r="U161" s="53"/>
      <c r="V161" s="53"/>
      <c r="W161" s="53"/>
      <c r="X161" s="53"/>
      <c r="Y161" s="53"/>
      <c r="Z161" s="53"/>
      <c r="AA161" s="53"/>
      <c r="AB161" s="53"/>
      <c r="AC161" s="53"/>
      <c r="AD161" s="53"/>
      <c r="AE161" s="53"/>
      <c r="AF161" s="53"/>
      <c r="AG161" s="53"/>
    </row>
    <row r="162" spans="2:33" ht="15" customHeight="1" x14ac:dyDescent="0.25">
      <c r="B162" s="135" t="str">
        <f>HYPERLINK("https://www.pbo.gov.au/elections/2025-general-election/2025-election-commitments-costings/safety-net-family-and-domestic-violence-helpline-support", "ECR-2025-2292")</f>
        <v>ECR-2025-2292</v>
      </c>
      <c r="C162" s="59" t="s">
        <v>357</v>
      </c>
      <c r="D162" s="60">
        <v>-4.2</v>
      </c>
      <c r="E162" s="60">
        <v>-1.1000000000000001</v>
      </c>
      <c r="F162" s="60">
        <v>-1.2</v>
      </c>
      <c r="G162" s="60">
        <v>-1.2</v>
      </c>
      <c r="H162" s="60">
        <v>-1.2</v>
      </c>
      <c r="I162" s="60">
        <v>-1.3</v>
      </c>
      <c r="J162" s="60">
        <v>-1.3</v>
      </c>
      <c r="K162" s="60">
        <v>-1.3</v>
      </c>
      <c r="L162" s="60">
        <v>-1.4</v>
      </c>
      <c r="M162" s="60">
        <v>-1.4</v>
      </c>
      <c r="N162" s="60">
        <v>-1.4</v>
      </c>
      <c r="O162" s="60">
        <v>-7.7</v>
      </c>
      <c r="P162" s="60">
        <v>-17</v>
      </c>
      <c r="Q162" s="64"/>
      <c r="R162" s="64"/>
      <c r="S162" s="59" t="s">
        <v>266</v>
      </c>
      <c r="U162" s="53"/>
      <c r="V162" s="53"/>
      <c r="W162" s="53"/>
      <c r="X162" s="53"/>
      <c r="Y162" s="53"/>
      <c r="Z162" s="53"/>
      <c r="AA162" s="53"/>
      <c r="AB162" s="53"/>
      <c r="AC162" s="53"/>
      <c r="AD162" s="53"/>
      <c r="AE162" s="53"/>
      <c r="AF162" s="53"/>
      <c r="AG162" s="53"/>
    </row>
    <row r="163" spans="2:33" ht="15" customHeight="1" x14ac:dyDescent="0.25">
      <c r="B163" s="59" t="s">
        <v>107</v>
      </c>
      <c r="C163" s="59" t="s">
        <v>406</v>
      </c>
      <c r="D163" s="60">
        <v>0</v>
      </c>
      <c r="E163" s="60">
        <v>0</v>
      </c>
      <c r="F163" s="60">
        <v>0</v>
      </c>
      <c r="G163" s="60">
        <v>0</v>
      </c>
      <c r="H163" s="60">
        <v>0</v>
      </c>
      <c r="I163" s="60">
        <v>0</v>
      </c>
      <c r="J163" s="60">
        <v>0</v>
      </c>
      <c r="K163" s="60">
        <v>0</v>
      </c>
      <c r="L163" s="60">
        <v>0</v>
      </c>
      <c r="M163" s="60">
        <v>0</v>
      </c>
      <c r="N163" s="60">
        <v>0</v>
      </c>
      <c r="O163" s="60">
        <v>0</v>
      </c>
      <c r="P163" s="60">
        <v>0</v>
      </c>
      <c r="Q163" s="64"/>
      <c r="R163" s="64"/>
      <c r="S163" s="59" t="s">
        <v>261</v>
      </c>
      <c r="U163" s="53"/>
      <c r="V163" s="53"/>
      <c r="W163" s="53"/>
      <c r="X163" s="53"/>
      <c r="Y163" s="53"/>
      <c r="Z163" s="53"/>
      <c r="AA163" s="53"/>
      <c r="AB163" s="53"/>
      <c r="AC163" s="53"/>
      <c r="AD163" s="53"/>
      <c r="AE163" s="53"/>
      <c r="AF163" s="53"/>
      <c r="AG163" s="53"/>
    </row>
    <row r="164" spans="2:33" ht="15" customHeight="1" x14ac:dyDescent="0.25">
      <c r="B164" s="135" t="str">
        <f>HYPERLINK("https://www.pbo.gov.au/elections/2025-general-election/2025-election-commitments-costings/sustainable-funding-crime-stoppers", "ECR-2025-2260")</f>
        <v>ECR-2025-2260</v>
      </c>
      <c r="C164" s="59" t="s">
        <v>434</v>
      </c>
      <c r="D164" s="60">
        <v>-2.5</v>
      </c>
      <c r="E164" s="60">
        <v>-2.5</v>
      </c>
      <c r="F164" s="60">
        <v>-2.5</v>
      </c>
      <c r="G164" s="60">
        <v>0</v>
      </c>
      <c r="H164" s="60">
        <v>0</v>
      </c>
      <c r="I164" s="60">
        <v>0</v>
      </c>
      <c r="J164" s="60">
        <v>0</v>
      </c>
      <c r="K164" s="60">
        <v>0</v>
      </c>
      <c r="L164" s="60">
        <v>0</v>
      </c>
      <c r="M164" s="60">
        <v>0</v>
      </c>
      <c r="N164" s="60">
        <v>0</v>
      </c>
      <c r="O164" s="60">
        <v>-7.5</v>
      </c>
      <c r="P164" s="60">
        <v>-7.5</v>
      </c>
      <c r="Q164" s="64"/>
      <c r="R164" s="64"/>
      <c r="S164" s="59" t="s">
        <v>263</v>
      </c>
      <c r="U164" s="53"/>
      <c r="V164" s="53"/>
      <c r="W164" s="53"/>
      <c r="X164" s="53"/>
      <c r="Y164" s="53"/>
      <c r="Z164" s="53"/>
      <c r="AA164" s="53"/>
      <c r="AB164" s="53"/>
      <c r="AC164" s="53"/>
      <c r="AD164" s="53"/>
      <c r="AE164" s="53"/>
      <c r="AF164" s="53"/>
      <c r="AG164" s="53"/>
    </row>
    <row r="165" spans="2:33" ht="15" customHeight="1" x14ac:dyDescent="0.25">
      <c r="B165" s="135" t="str">
        <f>HYPERLINK("https://www.pbo.gov.au/elections/2025-general-election/2025-election-commitments-costings/Unmarked%20War%20Graves%20Grants%20Program", "ECR-2025-2864")</f>
        <v>ECR-2025-2864</v>
      </c>
      <c r="C165" s="59" t="s">
        <v>358</v>
      </c>
      <c r="D165" s="60">
        <v>-1</v>
      </c>
      <c r="E165" s="60">
        <v>-0.9</v>
      </c>
      <c r="F165" s="60">
        <v>-0.9</v>
      </c>
      <c r="G165" s="60">
        <v>-0.9</v>
      </c>
      <c r="H165" s="60">
        <v>0</v>
      </c>
      <c r="I165" s="60">
        <v>0</v>
      </c>
      <c r="J165" s="60">
        <v>0</v>
      </c>
      <c r="K165" s="60">
        <v>0</v>
      </c>
      <c r="L165" s="60">
        <v>0</v>
      </c>
      <c r="M165" s="60">
        <v>0</v>
      </c>
      <c r="N165" s="60">
        <v>0</v>
      </c>
      <c r="O165" s="60">
        <v>-3.7</v>
      </c>
      <c r="P165" s="60">
        <v>-3.7</v>
      </c>
      <c r="Q165" s="64"/>
      <c r="R165" s="64"/>
      <c r="S165" s="59" t="s">
        <v>287</v>
      </c>
      <c r="U165" s="53"/>
      <c r="V165" s="53"/>
      <c r="W165" s="53"/>
      <c r="X165" s="53"/>
      <c r="Y165" s="53"/>
      <c r="Z165" s="53"/>
      <c r="AA165" s="53"/>
      <c r="AB165" s="53"/>
      <c r="AC165" s="53"/>
      <c r="AD165" s="53"/>
      <c r="AE165" s="53"/>
      <c r="AF165" s="53"/>
      <c r="AG165" s="53"/>
    </row>
    <row r="166" spans="2:33" ht="15" customHeight="1" x14ac:dyDescent="0.25">
      <c r="B166" s="62" t="s">
        <v>379</v>
      </c>
      <c r="C166" s="62"/>
      <c r="D166" s="63">
        <v>-479.2</v>
      </c>
      <c r="E166" s="63">
        <v>-3171.5</v>
      </c>
      <c r="F166" s="63">
        <v>-3860</v>
      </c>
      <c r="G166" s="63">
        <v>-5633.6</v>
      </c>
      <c r="H166" s="63">
        <v>-7724.9</v>
      </c>
      <c r="I166" s="63">
        <v>-11311.6</v>
      </c>
      <c r="J166" s="63">
        <v>-15246.1</v>
      </c>
      <c r="K166" s="63">
        <v>-20213</v>
      </c>
      <c r="L166" s="63">
        <v>-25299.4</v>
      </c>
      <c r="M166" s="63">
        <v>-30486</v>
      </c>
      <c r="N166" s="63">
        <v>-32003</v>
      </c>
      <c r="O166" s="63">
        <v>-13144.3</v>
      </c>
      <c r="P166" s="63">
        <v>-155428.20000000001</v>
      </c>
      <c r="Q166" s="64" t="s">
        <v>9</v>
      </c>
      <c r="R166" s="64"/>
      <c r="S166" s="62" t="s">
        <v>10</v>
      </c>
      <c r="U166" s="53"/>
      <c r="V166" s="53"/>
      <c r="W166" s="53"/>
      <c r="X166" s="53"/>
      <c r="Y166" s="53"/>
      <c r="Z166" s="53"/>
      <c r="AA166" s="53"/>
      <c r="AB166" s="53"/>
      <c r="AC166" s="53"/>
      <c r="AD166" s="53"/>
      <c r="AE166" s="53"/>
      <c r="AF166" s="53"/>
      <c r="AG166" s="53"/>
    </row>
    <row r="167" spans="2:33" ht="15" customHeight="1" x14ac:dyDescent="0.25">
      <c r="B167" s="81" t="s">
        <v>101</v>
      </c>
      <c r="C167" s="3"/>
      <c r="D167" s="55" t="s">
        <v>10</v>
      </c>
      <c r="E167" s="55" t="s">
        <v>10</v>
      </c>
      <c r="F167" s="55" t="s">
        <v>10</v>
      </c>
      <c r="G167" s="55" t="s">
        <v>10</v>
      </c>
      <c r="H167" s="55" t="s">
        <v>10</v>
      </c>
      <c r="I167" s="55" t="s">
        <v>10</v>
      </c>
      <c r="J167" s="55" t="s">
        <v>10</v>
      </c>
      <c r="K167" s="55" t="s">
        <v>10</v>
      </c>
      <c r="L167" s="55" t="s">
        <v>10</v>
      </c>
      <c r="M167" s="55" t="s">
        <v>10</v>
      </c>
      <c r="N167" s="55" t="s">
        <v>10</v>
      </c>
      <c r="O167" s="55" t="s">
        <v>10</v>
      </c>
      <c r="P167" s="55" t="s">
        <v>10</v>
      </c>
      <c r="Q167" s="4"/>
      <c r="R167" s="4"/>
      <c r="S167" s="3" t="s">
        <v>10</v>
      </c>
      <c r="U167" s="53"/>
      <c r="V167" s="53"/>
      <c r="W167" s="53"/>
      <c r="X167" s="53"/>
      <c r="Y167" s="53"/>
      <c r="Z167" s="53"/>
      <c r="AA167" s="53"/>
      <c r="AB167" s="53"/>
      <c r="AC167" s="53"/>
      <c r="AD167" s="53"/>
      <c r="AE167" s="53"/>
      <c r="AF167" s="53"/>
      <c r="AG167" s="53"/>
    </row>
    <row r="168" spans="2:33" ht="15" customHeight="1" x14ac:dyDescent="0.25">
      <c r="B168" s="135" t="str">
        <f>HYPERLINK("https://www.pbo.gov.au/elections/2025-general-election/2025-election-commitments-costings/1800MEDICARE-establishment", "ECR-2025-2235")</f>
        <v>ECR-2025-2235</v>
      </c>
      <c r="C168" s="59" t="s">
        <v>213</v>
      </c>
      <c r="D168" s="60">
        <v>-60.8</v>
      </c>
      <c r="E168" s="60">
        <v>-55.6</v>
      </c>
      <c r="F168" s="60">
        <v>-45.8</v>
      </c>
      <c r="G168" s="60">
        <v>-46.5</v>
      </c>
      <c r="H168" s="60">
        <v>-48.8</v>
      </c>
      <c r="I168" s="60">
        <v>-51.1</v>
      </c>
      <c r="J168" s="60">
        <v>-53.5</v>
      </c>
      <c r="K168" s="60">
        <v>-56</v>
      </c>
      <c r="L168" s="60">
        <v>-58.7</v>
      </c>
      <c r="M168" s="60">
        <v>-61.5</v>
      </c>
      <c r="N168" s="60">
        <v>-64.5</v>
      </c>
      <c r="O168" s="60">
        <v>-208.7</v>
      </c>
      <c r="P168" s="60">
        <v>-602.79999999999995</v>
      </c>
      <c r="Q168" s="61"/>
      <c r="R168" s="61"/>
      <c r="S168" s="59" t="s">
        <v>330</v>
      </c>
      <c r="U168" s="53"/>
      <c r="V168" s="53"/>
      <c r="W168" s="53"/>
      <c r="X168" s="53"/>
      <c r="Y168" s="53"/>
      <c r="Z168" s="53"/>
      <c r="AA168" s="53"/>
      <c r="AB168" s="53"/>
      <c r="AC168" s="53"/>
      <c r="AD168" s="53"/>
      <c r="AE168" s="53"/>
      <c r="AF168" s="53"/>
      <c r="AG168" s="53"/>
    </row>
    <row r="169" spans="2:33" ht="15" customHeight="1" x14ac:dyDescent="0.25">
      <c r="B169" s="135" t="str">
        <f>HYPERLINK("https://www.pbo.gov.au/elections/2025-general-election/2025-election-commitments-costings/age-and-veterans-service-pension-work-bonus-double", "ECR-2025-2087")</f>
        <v>ECR-2025-2087</v>
      </c>
      <c r="C169" s="59" t="s">
        <v>435</v>
      </c>
      <c r="D169" s="60">
        <v>-101.6</v>
      </c>
      <c r="E169" s="60">
        <v>-103.9</v>
      </c>
      <c r="F169" s="60">
        <v>-105.2</v>
      </c>
      <c r="G169" s="60">
        <v>-108.8</v>
      </c>
      <c r="H169" s="60">
        <v>-113.2</v>
      </c>
      <c r="I169" s="60">
        <v>-116.7</v>
      </c>
      <c r="J169" s="60">
        <v>-120.3</v>
      </c>
      <c r="K169" s="60">
        <v>-123.6</v>
      </c>
      <c r="L169" s="60">
        <v>-127.8</v>
      </c>
      <c r="M169" s="60">
        <v>-128</v>
      </c>
      <c r="N169" s="60">
        <v>-131</v>
      </c>
      <c r="O169" s="60">
        <v>-419.5</v>
      </c>
      <c r="P169" s="60">
        <v>-1280.0999999999999</v>
      </c>
      <c r="Q169" s="61"/>
      <c r="R169" s="61"/>
      <c r="S169" s="59" t="s">
        <v>261</v>
      </c>
      <c r="U169" s="53"/>
      <c r="V169" s="53"/>
      <c r="W169" s="53"/>
      <c r="X169" s="53"/>
      <c r="Y169" s="53"/>
      <c r="Z169" s="53"/>
      <c r="AA169" s="53"/>
      <c r="AB169" s="53"/>
      <c r="AC169" s="53"/>
      <c r="AD169" s="53"/>
      <c r="AE169" s="53"/>
      <c r="AF169" s="53"/>
      <c r="AG169" s="53"/>
    </row>
    <row r="170" spans="2:33" ht="15" customHeight="1" x14ac:dyDescent="0.25">
      <c r="B170" s="59" t="s">
        <v>126</v>
      </c>
      <c r="C170" s="59" t="s">
        <v>436</v>
      </c>
      <c r="D170" s="60">
        <v>0</v>
      </c>
      <c r="E170" s="60">
        <v>0</v>
      </c>
      <c r="F170" s="60">
        <v>0</v>
      </c>
      <c r="G170" s="60">
        <v>0</v>
      </c>
      <c r="H170" s="60">
        <v>0</v>
      </c>
      <c r="I170" s="60">
        <v>0</v>
      </c>
      <c r="J170" s="60">
        <v>0</v>
      </c>
      <c r="K170" s="60">
        <v>0</v>
      </c>
      <c r="L170" s="60">
        <v>0</v>
      </c>
      <c r="M170" s="60">
        <v>0</v>
      </c>
      <c r="N170" s="60">
        <v>0</v>
      </c>
      <c r="O170" s="60">
        <v>0</v>
      </c>
      <c r="P170" s="60">
        <v>0</v>
      </c>
      <c r="Q170" s="61"/>
      <c r="R170" s="61"/>
      <c r="S170" s="59" t="s">
        <v>331</v>
      </c>
      <c r="U170" s="53"/>
      <c r="V170" s="53"/>
      <c r="W170" s="53"/>
      <c r="X170" s="53"/>
      <c r="Y170" s="53"/>
      <c r="Z170" s="53"/>
      <c r="AA170" s="53"/>
      <c r="AB170" s="53"/>
      <c r="AC170" s="53"/>
      <c r="AD170" s="53"/>
      <c r="AE170" s="53"/>
      <c r="AF170" s="53"/>
      <c r="AG170" s="53"/>
    </row>
    <row r="171" spans="2:33" ht="15" customHeight="1" x14ac:dyDescent="0.25">
      <c r="B171" s="135" t="str">
        <f>HYPERLINK("https://www.pbo.gov.au/elections/2025-general-election/2025-election-commitments-costings/boost-food-relief-charities", "ECR-2025-2387")</f>
        <v>ECR-2025-2387</v>
      </c>
      <c r="C171" s="59" t="s">
        <v>245</v>
      </c>
      <c r="D171" s="60">
        <v>-41.5</v>
      </c>
      <c r="E171" s="60">
        <v>-10.5</v>
      </c>
      <c r="F171" s="60">
        <v>-10.5</v>
      </c>
      <c r="G171" s="60">
        <v>-10.5</v>
      </c>
      <c r="H171" s="60">
        <v>0</v>
      </c>
      <c r="I171" s="60">
        <v>0</v>
      </c>
      <c r="J171" s="60">
        <v>0</v>
      </c>
      <c r="K171" s="60">
        <v>0</v>
      </c>
      <c r="L171" s="60">
        <v>0</v>
      </c>
      <c r="M171" s="60">
        <v>0</v>
      </c>
      <c r="N171" s="60">
        <v>0</v>
      </c>
      <c r="O171" s="60">
        <v>-73</v>
      </c>
      <c r="P171" s="60">
        <v>-73</v>
      </c>
      <c r="Q171" s="61"/>
      <c r="R171" s="61"/>
      <c r="S171" s="59" t="s">
        <v>332</v>
      </c>
      <c r="U171" s="53"/>
      <c r="V171" s="53"/>
      <c r="W171" s="53"/>
      <c r="X171" s="53"/>
      <c r="Y171" s="53"/>
      <c r="Z171" s="53"/>
      <c r="AA171" s="53"/>
      <c r="AB171" s="53"/>
      <c r="AC171" s="53"/>
      <c r="AD171" s="53"/>
      <c r="AE171" s="53"/>
      <c r="AF171" s="53"/>
      <c r="AG171" s="53"/>
    </row>
    <row r="172" spans="2:33" ht="15" customHeight="1" x14ac:dyDescent="0.25">
      <c r="B172" s="135" t="str">
        <f>HYPERLINK("https://www.pbo.gov.au/elections/2025-general-election/2025-election-commitments-costings/childcare-restoring-activity-test", "ECR-2025-2653")</f>
        <v>ECR-2025-2653</v>
      </c>
      <c r="C172" s="59" t="s">
        <v>437</v>
      </c>
      <c r="D172" s="60">
        <v>52.5</v>
      </c>
      <c r="E172" s="60">
        <v>119</v>
      </c>
      <c r="F172" s="60">
        <v>122.4</v>
      </c>
      <c r="G172" s="60">
        <v>129</v>
      </c>
      <c r="H172" s="60">
        <v>135</v>
      </c>
      <c r="I172" s="60">
        <v>142</v>
      </c>
      <c r="J172" s="60">
        <v>149</v>
      </c>
      <c r="K172" s="60">
        <v>156</v>
      </c>
      <c r="L172" s="60">
        <v>162</v>
      </c>
      <c r="M172" s="60">
        <v>169</v>
      </c>
      <c r="N172" s="60">
        <v>176</v>
      </c>
      <c r="O172" s="60">
        <v>422.9</v>
      </c>
      <c r="P172" s="60">
        <v>1511.9</v>
      </c>
      <c r="Q172" s="61"/>
      <c r="R172" s="61"/>
      <c r="S172" s="59" t="s">
        <v>261</v>
      </c>
      <c r="U172" s="53"/>
      <c r="V172" s="53"/>
      <c r="W172" s="53"/>
      <c r="X172" s="53"/>
      <c r="Y172" s="53"/>
      <c r="Z172" s="53"/>
      <c r="AA172" s="53"/>
      <c r="AB172" s="53"/>
      <c r="AC172" s="53"/>
      <c r="AD172" s="53"/>
      <c r="AE172" s="53"/>
      <c r="AF172" s="53"/>
      <c r="AG172" s="53"/>
    </row>
    <row r="173" spans="2:33" ht="15" customHeight="1" x14ac:dyDescent="0.25">
      <c r="B173" s="135" t="str">
        <f>HYPERLINK("https://www.pbo.gov.au/elections/2025-general-election/2025-election-commitments-costings/community-childcare-fund-regional-australia", "ECR-2025-2052")</f>
        <v>ECR-2025-2052</v>
      </c>
      <c r="C173" s="59" t="s">
        <v>438</v>
      </c>
      <c r="D173" s="60">
        <v>-50</v>
      </c>
      <c r="E173" s="60">
        <v>-50</v>
      </c>
      <c r="F173" s="60">
        <v>0</v>
      </c>
      <c r="G173" s="60">
        <v>0</v>
      </c>
      <c r="H173" s="60">
        <v>0</v>
      </c>
      <c r="I173" s="60">
        <v>0</v>
      </c>
      <c r="J173" s="60">
        <v>0</v>
      </c>
      <c r="K173" s="60">
        <v>0</v>
      </c>
      <c r="L173" s="60">
        <v>0</v>
      </c>
      <c r="M173" s="60">
        <v>0</v>
      </c>
      <c r="N173" s="60">
        <v>0</v>
      </c>
      <c r="O173" s="60">
        <v>-100</v>
      </c>
      <c r="P173" s="60">
        <v>-100</v>
      </c>
      <c r="Q173" s="61"/>
      <c r="R173" s="61"/>
      <c r="S173" s="59" t="s">
        <v>261</v>
      </c>
      <c r="U173" s="53"/>
      <c r="V173" s="53"/>
      <c r="W173" s="53"/>
      <c r="X173" s="53"/>
      <c r="Y173" s="53"/>
      <c r="Z173" s="53"/>
      <c r="AA173" s="53"/>
      <c r="AB173" s="53"/>
      <c r="AC173" s="53"/>
      <c r="AD173" s="53"/>
      <c r="AE173" s="53"/>
      <c r="AF173" s="53"/>
      <c r="AG173" s="53"/>
    </row>
    <row r="174" spans="2:33" ht="15" customHeight="1" x14ac:dyDescent="0.25">
      <c r="B174" s="135" t="str">
        <f>HYPERLINK("https://www.pbo.gov.au/elections/2025-general-election/2025-election-commitments-costings/explicit-teaching-accelerator-fund", "ECR-2025-2563")</f>
        <v>ECR-2025-2563</v>
      </c>
      <c r="C174" s="59" t="s">
        <v>189</v>
      </c>
      <c r="D174" s="60">
        <v>-0.5</v>
      </c>
      <c r="E174" s="60">
        <v>-7</v>
      </c>
      <c r="F174" s="60">
        <v>-7</v>
      </c>
      <c r="G174" s="60">
        <v>-6.9</v>
      </c>
      <c r="H174" s="60">
        <v>0</v>
      </c>
      <c r="I174" s="60">
        <v>0</v>
      </c>
      <c r="J174" s="60">
        <v>0</v>
      </c>
      <c r="K174" s="60">
        <v>0</v>
      </c>
      <c r="L174" s="60">
        <v>0</v>
      </c>
      <c r="M174" s="60">
        <v>0</v>
      </c>
      <c r="N174" s="60">
        <v>0</v>
      </c>
      <c r="O174" s="60">
        <v>-21.4</v>
      </c>
      <c r="P174" s="60">
        <v>-21.4</v>
      </c>
      <c r="Q174" s="61"/>
      <c r="R174" s="61"/>
      <c r="S174" s="59" t="s">
        <v>333</v>
      </c>
      <c r="U174" s="53"/>
      <c r="V174" s="53"/>
      <c r="W174" s="53"/>
      <c r="X174" s="53"/>
      <c r="Y174" s="53"/>
      <c r="Z174" s="53"/>
      <c r="AA174" s="53"/>
      <c r="AB174" s="53"/>
      <c r="AC174" s="53"/>
      <c r="AD174" s="53"/>
      <c r="AE174" s="53"/>
      <c r="AF174" s="53"/>
      <c r="AG174" s="53"/>
    </row>
    <row r="175" spans="2:33" ht="15" customHeight="1" x14ac:dyDescent="0.25">
      <c r="B175" s="59" t="s">
        <v>125</v>
      </c>
      <c r="C175" s="59" t="s">
        <v>439</v>
      </c>
      <c r="D175" s="60">
        <v>0</v>
      </c>
      <c r="E175" s="60">
        <v>0</v>
      </c>
      <c r="F175" s="60">
        <v>0</v>
      </c>
      <c r="G175" s="60">
        <v>0</v>
      </c>
      <c r="H175" s="60">
        <v>0</v>
      </c>
      <c r="I175" s="60">
        <v>0</v>
      </c>
      <c r="J175" s="60">
        <v>0</v>
      </c>
      <c r="K175" s="60">
        <v>0</v>
      </c>
      <c r="L175" s="60">
        <v>0</v>
      </c>
      <c r="M175" s="60">
        <v>0</v>
      </c>
      <c r="N175" s="60">
        <v>0</v>
      </c>
      <c r="O175" s="60">
        <v>0</v>
      </c>
      <c r="P175" s="60">
        <v>0</v>
      </c>
      <c r="Q175" s="61"/>
      <c r="R175" s="61"/>
      <c r="S175" t="s">
        <v>261</v>
      </c>
      <c r="U175" s="53"/>
      <c r="V175" s="53"/>
      <c r="W175" s="53"/>
      <c r="X175" s="53"/>
      <c r="Y175" s="53"/>
      <c r="Z175" s="53"/>
      <c r="AA175" s="53"/>
      <c r="AB175" s="53"/>
      <c r="AC175" s="53"/>
      <c r="AD175" s="53"/>
      <c r="AE175" s="53"/>
      <c r="AF175" s="53"/>
      <c r="AG175" s="53"/>
    </row>
    <row r="176" spans="2:33" ht="15" customHeight="1" x14ac:dyDescent="0.25">
      <c r="B176" s="135" t="str">
        <f>HYPERLINK("https://www.pbo.gov.au/elections/2025-general-election/2025-election-commitments-costings/High-quality-Graduate-Diplomas-of-Education", "ECR-2025-2868")</f>
        <v>ECR-2025-2868</v>
      </c>
      <c r="C176" s="59" t="s">
        <v>447</v>
      </c>
      <c r="D176" s="60">
        <v>0</v>
      </c>
      <c r="E176" s="60">
        <v>43.2</v>
      </c>
      <c r="F176" s="60">
        <v>89.1</v>
      </c>
      <c r="G176" s="60">
        <v>97.1</v>
      </c>
      <c r="H176" s="60">
        <v>105.6</v>
      </c>
      <c r="I176" s="60">
        <v>114.5</v>
      </c>
      <c r="J176" s="60">
        <v>125</v>
      </c>
      <c r="K176" s="60">
        <v>135</v>
      </c>
      <c r="L176" s="60">
        <v>146.6</v>
      </c>
      <c r="M176" s="60">
        <v>159</v>
      </c>
      <c r="N176" s="60">
        <v>172.7</v>
      </c>
      <c r="O176" s="60">
        <v>229.4</v>
      </c>
      <c r="P176" s="60">
        <v>1187.8</v>
      </c>
      <c r="Q176" s="61"/>
      <c r="R176" s="61"/>
      <c r="S176" s="59" t="s">
        <v>333</v>
      </c>
      <c r="U176" s="53"/>
      <c r="V176" s="53"/>
      <c r="W176" s="53"/>
      <c r="X176" s="53"/>
      <c r="Y176" s="53"/>
      <c r="Z176" s="53"/>
      <c r="AA176" s="53"/>
      <c r="AB176" s="53"/>
      <c r="AC176" s="53"/>
      <c r="AD176" s="53"/>
      <c r="AE176" s="53"/>
      <c r="AF176" s="53"/>
      <c r="AG176" s="53"/>
    </row>
    <row r="177" spans="2:33" ht="15" customHeight="1" x14ac:dyDescent="0.25">
      <c r="B177" s="59" t="s">
        <v>123</v>
      </c>
      <c r="C177" s="59" t="s">
        <v>407</v>
      </c>
      <c r="D177" s="60">
        <v>0</v>
      </c>
      <c r="E177" s="60">
        <v>0</v>
      </c>
      <c r="F177" s="60">
        <v>0</v>
      </c>
      <c r="G177" s="60">
        <v>0</v>
      </c>
      <c r="H177" s="60">
        <v>0</v>
      </c>
      <c r="I177" s="60">
        <v>0</v>
      </c>
      <c r="J177" s="60">
        <v>0</v>
      </c>
      <c r="K177" s="60">
        <v>0</v>
      </c>
      <c r="L177" s="60">
        <v>0</v>
      </c>
      <c r="M177" s="60">
        <v>0</v>
      </c>
      <c r="N177" s="60">
        <v>0</v>
      </c>
      <c r="O177" s="60">
        <v>0</v>
      </c>
      <c r="P177" s="60">
        <v>0</v>
      </c>
      <c r="Q177" s="61"/>
      <c r="R177" s="61"/>
      <c r="S177" s="59" t="s">
        <v>334</v>
      </c>
      <c r="U177" s="53"/>
      <c r="V177" s="53"/>
      <c r="W177" s="53"/>
      <c r="X177" s="53"/>
      <c r="Y177" s="53"/>
      <c r="Z177" s="53"/>
      <c r="AA177" s="53"/>
      <c r="AB177" s="53"/>
      <c r="AC177" s="53"/>
      <c r="AD177" s="53"/>
      <c r="AE177" s="53"/>
      <c r="AF177" s="53"/>
      <c r="AG177" s="53"/>
    </row>
    <row r="178" spans="2:33" ht="15" customHeight="1" x14ac:dyDescent="0.25">
      <c r="B178" s="135" t="str">
        <f>HYPERLINK("https://www.pbo.gov.au/elections/2025-general-election/2025-election-commitments-costings/increasing-isolated-children-boarding-school-allowance", "ECR-2025-2381")</f>
        <v>ECR-2025-2381</v>
      </c>
      <c r="C178" s="59" t="s">
        <v>183</v>
      </c>
      <c r="D178" s="60">
        <v>-20</v>
      </c>
      <c r="E178" s="60">
        <v>-20</v>
      </c>
      <c r="F178" s="60">
        <v>0</v>
      </c>
      <c r="G178" s="60">
        <v>0</v>
      </c>
      <c r="H178" s="60">
        <v>0</v>
      </c>
      <c r="I178" s="60">
        <v>0</v>
      </c>
      <c r="J178" s="60">
        <v>0</v>
      </c>
      <c r="K178" s="60">
        <v>0</v>
      </c>
      <c r="L178" s="60">
        <v>0</v>
      </c>
      <c r="M178" s="60">
        <v>0</v>
      </c>
      <c r="N178" s="60">
        <v>0</v>
      </c>
      <c r="O178" s="60">
        <v>-40</v>
      </c>
      <c r="P178" s="60">
        <v>-40</v>
      </c>
      <c r="Q178" s="61"/>
      <c r="R178" s="61"/>
      <c r="S178" s="59" t="s">
        <v>334</v>
      </c>
      <c r="U178" s="53"/>
      <c r="V178" s="53"/>
      <c r="W178" s="53"/>
      <c r="X178" s="53"/>
      <c r="Y178" s="53"/>
      <c r="Z178" s="53"/>
      <c r="AA178" s="53"/>
      <c r="AB178" s="53"/>
      <c r="AC178" s="53"/>
      <c r="AD178" s="53"/>
      <c r="AE178" s="53"/>
      <c r="AF178" s="53"/>
      <c r="AG178" s="53"/>
    </row>
    <row r="179" spans="2:33" ht="15" customHeight="1" x14ac:dyDescent="0.25">
      <c r="B179" s="135" t="str">
        <f>HYPERLINK("https://www.pbo.gov.au/elections/2025-general-election/2025-election-commitments-costings/investing-regional-health-education-infrastructure-and-workforce", "ECR-2025-2888")</f>
        <v>ECR-2025-2888</v>
      </c>
      <c r="C179" s="59" t="s">
        <v>215</v>
      </c>
      <c r="D179" s="60">
        <v>-38.200000000000003</v>
      </c>
      <c r="E179" s="60">
        <v>-41.6</v>
      </c>
      <c r="F179" s="60">
        <v>-46.3</v>
      </c>
      <c r="G179" s="60">
        <v>-13.6</v>
      </c>
      <c r="H179" s="60">
        <v>-14.3</v>
      </c>
      <c r="I179" s="60">
        <v>-12.4</v>
      </c>
      <c r="J179" s="60">
        <v>-10.3</v>
      </c>
      <c r="K179" s="60">
        <v>-8</v>
      </c>
      <c r="L179" s="60">
        <v>-8.1</v>
      </c>
      <c r="M179" s="60">
        <v>-8.5</v>
      </c>
      <c r="N179" s="60">
        <v>-8.9</v>
      </c>
      <c r="O179" s="60">
        <v>-139.69999999999999</v>
      </c>
      <c r="P179" s="60">
        <v>-210.2</v>
      </c>
      <c r="Q179" s="61"/>
      <c r="R179" s="61"/>
      <c r="S179" s="59" t="s">
        <v>335</v>
      </c>
      <c r="U179" s="53"/>
      <c r="V179" s="53"/>
      <c r="W179" s="53"/>
      <c r="X179" s="53"/>
      <c r="Y179" s="53"/>
      <c r="Z179" s="53"/>
      <c r="AA179" s="53"/>
      <c r="AB179" s="53"/>
      <c r="AC179" s="53"/>
      <c r="AD179" s="53"/>
      <c r="AE179" s="53"/>
      <c r="AF179" s="53"/>
      <c r="AG179" s="53"/>
    </row>
    <row r="180" spans="2:33" ht="15" customHeight="1" x14ac:dyDescent="0.25">
      <c r="B180" s="135" t="str">
        <f>HYPERLINK("https://www.pbo.gov.au/elections/2025-general-election/2025-election-commitments-costings/Maddie%20Riewoldt%E2%80%99s%20Vision%20%E2%80%93%20additional%20support", "ECR-2025-2302")</f>
        <v>ECR-2025-2302</v>
      </c>
      <c r="C180" s="59" t="s">
        <v>178</v>
      </c>
      <c r="D180" s="60">
        <v>-3</v>
      </c>
      <c r="E180" s="60">
        <v>0</v>
      </c>
      <c r="F180" s="60">
        <v>0</v>
      </c>
      <c r="G180" s="60">
        <v>0</v>
      </c>
      <c r="H180" s="60">
        <v>0</v>
      </c>
      <c r="I180" s="60">
        <v>0</v>
      </c>
      <c r="J180" s="60">
        <v>0</v>
      </c>
      <c r="K180" s="60">
        <v>0</v>
      </c>
      <c r="L180" s="60">
        <v>0</v>
      </c>
      <c r="M180" s="60">
        <v>0</v>
      </c>
      <c r="N180" s="60">
        <v>0</v>
      </c>
      <c r="O180" s="60">
        <v>-3</v>
      </c>
      <c r="P180" s="60">
        <v>-3</v>
      </c>
      <c r="Q180" s="61"/>
      <c r="R180" s="61"/>
      <c r="S180" s="59" t="s">
        <v>336</v>
      </c>
      <c r="U180" s="53"/>
      <c r="V180" s="53"/>
      <c r="W180" s="53"/>
      <c r="X180" s="53"/>
      <c r="Y180" s="53"/>
      <c r="Z180" s="53"/>
      <c r="AA180" s="53"/>
      <c r="AB180" s="53"/>
      <c r="AC180" s="53"/>
      <c r="AD180" s="53"/>
      <c r="AE180" s="53"/>
      <c r="AF180" s="53"/>
      <c r="AG180" s="53"/>
    </row>
    <row r="181" spans="2:33" ht="15" customHeight="1" x14ac:dyDescent="0.25">
      <c r="B181" s="135" t="str">
        <f>HYPERLINK("https://www.pbo.gov.au/elections/2025-general-election/2025-election-commitments-costings/Making%20it%20easier%20to%20access%20Medicare%20subsidised%20psychology%20sessions", "ECR-2025-2529")</f>
        <v>ECR-2025-2529</v>
      </c>
      <c r="C181" s="59" t="s">
        <v>256</v>
      </c>
      <c r="D181" s="60">
        <v>20.399999999999999</v>
      </c>
      <c r="E181" s="60">
        <v>21.2</v>
      </c>
      <c r="F181" s="60">
        <v>21.9</v>
      </c>
      <c r="G181" s="60">
        <v>22.7</v>
      </c>
      <c r="H181" s="60">
        <v>23.5</v>
      </c>
      <c r="I181" s="60">
        <v>24.3</v>
      </c>
      <c r="J181" s="60">
        <v>25.1</v>
      </c>
      <c r="K181" s="60">
        <v>26</v>
      </c>
      <c r="L181" s="60">
        <v>26.9</v>
      </c>
      <c r="M181" s="60">
        <v>27.9</v>
      </c>
      <c r="N181" s="60">
        <v>28.9</v>
      </c>
      <c r="O181" s="60">
        <v>86.2</v>
      </c>
      <c r="P181" s="60">
        <v>268.8</v>
      </c>
      <c r="Q181" s="61"/>
      <c r="R181" s="61"/>
      <c r="S181" s="59" t="s">
        <v>261</v>
      </c>
      <c r="U181" s="53"/>
      <c r="V181" s="53"/>
      <c r="W181" s="53"/>
      <c r="X181" s="53"/>
      <c r="Y181" s="53"/>
      <c r="Z181" s="53"/>
      <c r="AA181" s="53"/>
      <c r="AB181" s="53"/>
      <c r="AC181" s="53"/>
      <c r="AD181" s="53"/>
      <c r="AE181" s="53"/>
      <c r="AF181" s="53"/>
      <c r="AG181" s="53"/>
    </row>
    <row r="182" spans="2:33" ht="15" customHeight="1" x14ac:dyDescent="0.25">
      <c r="B182" s="135" t="str">
        <f>HYPERLINK("https://www.pbo.gov.au/elections/2025-general-election/2025-election-commitments-costings/national-institute-mental-health-expansion", "ECR-2025-2288")</f>
        <v>ECR-2025-2288</v>
      </c>
      <c r="C182" s="59" t="s">
        <v>182</v>
      </c>
      <c r="D182" s="60">
        <v>0</v>
      </c>
      <c r="E182" s="60">
        <v>-9</v>
      </c>
      <c r="F182" s="60">
        <v>-9</v>
      </c>
      <c r="G182" s="60">
        <v>-9</v>
      </c>
      <c r="H182" s="60">
        <v>-9</v>
      </c>
      <c r="I182" s="60">
        <v>-9</v>
      </c>
      <c r="J182" s="60">
        <v>-9</v>
      </c>
      <c r="K182" s="60">
        <v>-9</v>
      </c>
      <c r="L182" s="60">
        <v>-9</v>
      </c>
      <c r="M182" s="60">
        <v>-9</v>
      </c>
      <c r="N182" s="60">
        <v>-9</v>
      </c>
      <c r="O182" s="60">
        <v>-27</v>
      </c>
      <c r="P182" s="60">
        <v>-90</v>
      </c>
      <c r="Q182" s="61"/>
      <c r="R182" s="61"/>
      <c r="S182" s="59" t="s">
        <v>337</v>
      </c>
      <c r="U182" s="53"/>
      <c r="V182" s="53"/>
      <c r="W182" s="53"/>
      <c r="X182" s="53"/>
      <c r="Y182" s="53"/>
      <c r="Z182" s="53"/>
      <c r="AA182" s="53"/>
      <c r="AB182" s="53"/>
      <c r="AC182" s="53"/>
      <c r="AD182" s="53"/>
      <c r="AE182" s="53"/>
      <c r="AF182" s="53"/>
      <c r="AG182" s="53"/>
    </row>
    <row r="183" spans="2:33" ht="15" customHeight="1" x14ac:dyDescent="0.25">
      <c r="B183" s="135" t="str">
        <f>HYPERLINK("https://www.pbo.gov.au/elections/2025-general-election/2025-election-commitments-costings/national-school-chaplaincy-program-additional-resourcing", "ECR-2025-2425")</f>
        <v>ECR-2025-2425</v>
      </c>
      <c r="C183" s="59" t="s">
        <v>180</v>
      </c>
      <c r="D183" s="60">
        <v>-4.5999999999999996</v>
      </c>
      <c r="E183" s="60">
        <v>-10.3</v>
      </c>
      <c r="F183" s="60">
        <v>-12.5</v>
      </c>
      <c r="G183" s="60">
        <v>-15</v>
      </c>
      <c r="H183" s="60">
        <v>-17.399999999999999</v>
      </c>
      <c r="I183" s="60">
        <v>-19.8</v>
      </c>
      <c r="J183" s="60">
        <v>-22.2</v>
      </c>
      <c r="K183" s="60">
        <v>-24.7</v>
      </c>
      <c r="L183" s="60">
        <v>-27.3</v>
      </c>
      <c r="M183" s="60">
        <v>-30</v>
      </c>
      <c r="N183" s="60">
        <v>-32.700000000000003</v>
      </c>
      <c r="O183" s="60">
        <v>-42.4</v>
      </c>
      <c r="P183" s="60">
        <v>-216.5</v>
      </c>
      <c r="Q183" s="61"/>
      <c r="R183" s="61"/>
      <c r="S183" s="59" t="s">
        <v>334</v>
      </c>
      <c r="U183" s="53"/>
      <c r="V183" s="53"/>
      <c r="W183" s="53"/>
      <c r="X183" s="53"/>
      <c r="Y183" s="53"/>
      <c r="Z183" s="53"/>
      <c r="AA183" s="53"/>
      <c r="AB183" s="53"/>
      <c r="AC183" s="53"/>
      <c r="AD183" s="53"/>
      <c r="AE183" s="53"/>
      <c r="AF183" s="53"/>
      <c r="AG183" s="53"/>
    </row>
    <row r="184" spans="2:33" ht="15" customHeight="1" x14ac:dyDescent="0.25">
      <c r="B184" s="135" t="str">
        <f>HYPERLINK("https://www.pbo.gov.au/elections/2025-general-election/2025-election-commitments-costings/New%20BOM%20radar%20in%20Central%20Queensland", "ECR-2025-2658")</f>
        <v>ECR-2025-2658</v>
      </c>
      <c r="C184" s="59" t="s">
        <v>440</v>
      </c>
      <c r="D184" s="60">
        <v>-4</v>
      </c>
      <c r="E184" s="60">
        <v>-2</v>
      </c>
      <c r="F184" s="60">
        <v>-2</v>
      </c>
      <c r="G184" s="60">
        <v>-2</v>
      </c>
      <c r="H184" s="60">
        <v>0</v>
      </c>
      <c r="I184" s="60">
        <v>0</v>
      </c>
      <c r="J184" s="60">
        <v>0</v>
      </c>
      <c r="K184" s="60">
        <v>0</v>
      </c>
      <c r="L184" s="60">
        <v>0</v>
      </c>
      <c r="M184" s="60">
        <v>0</v>
      </c>
      <c r="N184" s="60">
        <v>0</v>
      </c>
      <c r="O184" s="60">
        <v>-10</v>
      </c>
      <c r="P184" s="60">
        <v>-10</v>
      </c>
      <c r="Q184" s="61"/>
      <c r="R184" s="61"/>
      <c r="S184" s="59" t="s">
        <v>338</v>
      </c>
      <c r="U184" s="53"/>
      <c r="V184" s="53"/>
      <c r="W184" s="53"/>
      <c r="X184" s="53"/>
      <c r="Y184" s="53"/>
      <c r="Z184" s="53"/>
      <c r="AA184" s="53"/>
      <c r="AB184" s="53"/>
      <c r="AC184" s="53"/>
      <c r="AD184" s="53"/>
      <c r="AE184" s="53"/>
      <c r="AF184" s="53"/>
      <c r="AG184" s="53"/>
    </row>
    <row r="185" spans="2:33" ht="15" customHeight="1" x14ac:dyDescent="0.25">
      <c r="B185" s="135" t="str">
        <f>HYPERLINK("https://www.pbo.gov.au/elections/2025-general-election/2025-election-commitments-costings/new-health-and-engineering-wing-CQuniversity", "ECR-2025-2437")</f>
        <v>ECR-2025-2437</v>
      </c>
      <c r="C185" s="59" t="s">
        <v>441</v>
      </c>
      <c r="D185" s="60">
        <v>-15</v>
      </c>
      <c r="E185" s="60">
        <v>-7.5</v>
      </c>
      <c r="F185" s="60">
        <v>-5</v>
      </c>
      <c r="G185" s="60">
        <v>0</v>
      </c>
      <c r="H185" s="60">
        <v>0</v>
      </c>
      <c r="I185" s="60">
        <v>0</v>
      </c>
      <c r="J185" s="60">
        <v>0</v>
      </c>
      <c r="K185" s="60">
        <v>0</v>
      </c>
      <c r="L185" s="60">
        <v>0</v>
      </c>
      <c r="M185" s="60">
        <v>0</v>
      </c>
      <c r="N185" s="60">
        <v>0</v>
      </c>
      <c r="O185" s="60">
        <v>-27.5</v>
      </c>
      <c r="P185" s="60">
        <v>-27.5</v>
      </c>
      <c r="Q185" s="61"/>
      <c r="R185" s="61"/>
      <c r="S185" s="59" t="s">
        <v>280</v>
      </c>
      <c r="U185" s="53"/>
      <c r="V185" s="53"/>
      <c r="W185" s="53"/>
      <c r="X185" s="53"/>
      <c r="Y185" s="53"/>
      <c r="Z185" s="53"/>
      <c r="AA185" s="53"/>
      <c r="AB185" s="53"/>
      <c r="AC185" s="53"/>
      <c r="AD185" s="53"/>
      <c r="AE185" s="53"/>
      <c r="AF185" s="53"/>
      <c r="AG185" s="53"/>
    </row>
    <row r="186" spans="2:33" ht="15" customHeight="1" x14ac:dyDescent="0.25">
      <c r="B186" s="135" t="str">
        <f>HYPERLINK("https://www.pbo.gov.au/elections/2025-general-election/2025-election-commitments-costings/next-stages-creutzfeldt-jakob-disease-longitudinal-study", "ECR-2025-2209")</f>
        <v>ECR-2025-2209</v>
      </c>
      <c r="C186" s="59" t="s">
        <v>177</v>
      </c>
      <c r="D186" s="60">
        <v>0</v>
      </c>
      <c r="E186" s="60">
        <v>0</v>
      </c>
      <c r="F186" s="60">
        <v>-0.2</v>
      </c>
      <c r="G186" s="60">
        <v>-0.1</v>
      </c>
      <c r="H186" s="60">
        <v>0</v>
      </c>
      <c r="I186" s="60">
        <v>0</v>
      </c>
      <c r="J186" s="60">
        <v>0</v>
      </c>
      <c r="K186" s="60">
        <v>0</v>
      </c>
      <c r="L186" s="60">
        <v>0</v>
      </c>
      <c r="M186" s="60">
        <v>0</v>
      </c>
      <c r="N186" s="60">
        <v>0</v>
      </c>
      <c r="O186" s="60">
        <v>-0.3</v>
      </c>
      <c r="P186" s="60">
        <v>-0.3</v>
      </c>
      <c r="Q186" s="61"/>
      <c r="R186" s="61"/>
      <c r="S186" s="59" t="s">
        <v>280</v>
      </c>
      <c r="U186" s="53"/>
      <c r="V186" s="53"/>
      <c r="W186" s="53"/>
      <c r="X186" s="53"/>
      <c r="Y186" s="53"/>
      <c r="Z186" s="53"/>
      <c r="AA186" s="53"/>
      <c r="AB186" s="53"/>
      <c r="AC186" s="53"/>
      <c r="AD186" s="53"/>
      <c r="AE186" s="53"/>
      <c r="AF186" s="53"/>
      <c r="AG186" s="53"/>
    </row>
    <row r="187" spans="2:33" ht="15" customHeight="1" x14ac:dyDescent="0.25">
      <c r="B187" s="135" t="str">
        <f>HYPERLINK("https://www.pbo.gov.au/elections/2025-general-election/2025-election-commitments-costings/non-government-school-18-month-foundation-program", "ECR-2025-2648")</f>
        <v>ECR-2025-2648</v>
      </c>
      <c r="C187" s="59" t="s">
        <v>630</v>
      </c>
      <c r="D187" s="60">
        <v>-22</v>
      </c>
      <c r="E187" s="60">
        <v>0</v>
      </c>
      <c r="F187" s="60">
        <v>0</v>
      </c>
      <c r="G187" s="60">
        <v>0</v>
      </c>
      <c r="H187" s="60">
        <v>0</v>
      </c>
      <c r="I187" s="60">
        <v>0</v>
      </c>
      <c r="J187" s="60">
        <v>0</v>
      </c>
      <c r="K187" s="60">
        <v>0</v>
      </c>
      <c r="L187" s="60">
        <v>0</v>
      </c>
      <c r="M187" s="60">
        <v>0</v>
      </c>
      <c r="N187" s="60">
        <v>0</v>
      </c>
      <c r="O187" s="60">
        <v>-22</v>
      </c>
      <c r="P187" s="60">
        <v>-22</v>
      </c>
      <c r="Q187" s="61"/>
      <c r="R187" s="61"/>
      <c r="S187" s="59" t="s">
        <v>261</v>
      </c>
      <c r="U187" s="53"/>
      <c r="V187" s="53"/>
      <c r="W187" s="53"/>
      <c r="X187" s="53"/>
      <c r="Y187" s="53"/>
      <c r="Z187" s="53"/>
      <c r="AA187" s="53"/>
      <c r="AB187" s="53"/>
      <c r="AC187" s="53"/>
      <c r="AD187" s="53"/>
      <c r="AE187" s="53"/>
      <c r="AF187" s="53"/>
      <c r="AG187" s="53"/>
    </row>
    <row r="188" spans="2:33" ht="15" customHeight="1" x14ac:dyDescent="0.25">
      <c r="B188" s="135" t="str">
        <f>HYPERLINK("https://www.pbo.gov.au/elections/2025-general-election/2025-election-commitments-costings/northern-australia-and-rangelands-fire-information", "ECR-2025-2154")</f>
        <v>ECR-2025-2154</v>
      </c>
      <c r="C188" s="59" t="s">
        <v>188</v>
      </c>
      <c r="D188" s="60">
        <v>-0.9</v>
      </c>
      <c r="E188" s="60">
        <v>-0.8</v>
      </c>
      <c r="F188" s="60">
        <v>-0.8</v>
      </c>
      <c r="G188" s="60">
        <v>0</v>
      </c>
      <c r="H188" s="60">
        <v>0</v>
      </c>
      <c r="I188" s="60">
        <v>0</v>
      </c>
      <c r="J188" s="60">
        <v>0</v>
      </c>
      <c r="K188" s="60">
        <v>0</v>
      </c>
      <c r="L188" s="60">
        <v>0</v>
      </c>
      <c r="M188" s="60">
        <v>0</v>
      </c>
      <c r="N188" s="60">
        <v>0</v>
      </c>
      <c r="O188" s="60">
        <v>-2.5</v>
      </c>
      <c r="P188" s="60">
        <v>-2.5</v>
      </c>
      <c r="Q188" s="61"/>
      <c r="R188" s="61"/>
      <c r="S188" s="59" t="s">
        <v>313</v>
      </c>
      <c r="U188" s="53"/>
      <c r="V188" s="53"/>
      <c r="W188" s="53"/>
      <c r="X188" s="53"/>
      <c r="Y188" s="53"/>
      <c r="Z188" s="53"/>
      <c r="AA188" s="53"/>
      <c r="AB188" s="53"/>
      <c r="AC188" s="53"/>
      <c r="AD188" s="53"/>
      <c r="AE188" s="53"/>
      <c r="AF188" s="53"/>
      <c r="AG188" s="53"/>
    </row>
    <row r="189" spans="2:33" ht="15" customHeight="1" x14ac:dyDescent="0.25">
      <c r="B189" s="135" t="str">
        <f>HYPERLINK("https://www.pbo.gov.au/elections/2025-general-election/2025-election-commitments-costings/Outcomes-based%20indigenous%20health%20delivery%20%E2%80%93%20CareFlight%20investment", "ECR-2025-2181")</f>
        <v>ECR-2025-2181</v>
      </c>
      <c r="C189" s="59" t="s">
        <v>442</v>
      </c>
      <c r="D189" s="60">
        <v>-10</v>
      </c>
      <c r="E189" s="60">
        <v>0</v>
      </c>
      <c r="F189" s="60">
        <v>0</v>
      </c>
      <c r="G189" s="60">
        <v>0</v>
      </c>
      <c r="H189" s="60">
        <v>0</v>
      </c>
      <c r="I189" s="60">
        <v>0</v>
      </c>
      <c r="J189" s="60">
        <v>0</v>
      </c>
      <c r="K189" s="60">
        <v>0</v>
      </c>
      <c r="L189" s="60">
        <v>0</v>
      </c>
      <c r="M189" s="60">
        <v>0</v>
      </c>
      <c r="N189" s="60">
        <v>0</v>
      </c>
      <c r="O189" s="60">
        <v>-10</v>
      </c>
      <c r="P189" s="60">
        <v>-10</v>
      </c>
      <c r="Q189" s="61"/>
      <c r="R189" s="61"/>
      <c r="S189" s="59" t="s">
        <v>339</v>
      </c>
      <c r="U189" s="53"/>
      <c r="V189" s="53"/>
      <c r="W189" s="53"/>
      <c r="X189" s="53"/>
      <c r="Y189" s="53"/>
      <c r="Z189" s="53"/>
      <c r="AA189" s="53"/>
      <c r="AB189" s="53"/>
      <c r="AC189" s="53"/>
      <c r="AD189" s="53"/>
      <c r="AE189" s="53"/>
      <c r="AF189" s="53"/>
      <c r="AG189" s="53"/>
    </row>
    <row r="190" spans="2:33" ht="15" customHeight="1" x14ac:dyDescent="0.25">
      <c r="B190" s="135" t="str">
        <f>HYPERLINK("https://www.pbo.gov.au/elections/2025-general-election/2025-election-commitments-costings/Tresillian%20Family%20Care%20Centre", "ECR-2025-2514")</f>
        <v>ECR-2025-2514</v>
      </c>
      <c r="C190" s="59" t="s">
        <v>443</v>
      </c>
      <c r="D190" s="60">
        <v>-2.1</v>
      </c>
      <c r="E190" s="60">
        <v>-1.8</v>
      </c>
      <c r="F190" s="60">
        <v>-1.8</v>
      </c>
      <c r="G190" s="60">
        <v>-1.9</v>
      </c>
      <c r="H190" s="60">
        <v>0</v>
      </c>
      <c r="I190" s="60">
        <v>0</v>
      </c>
      <c r="J190" s="60">
        <v>0</v>
      </c>
      <c r="K190" s="60">
        <v>0</v>
      </c>
      <c r="L190" s="60">
        <v>0</v>
      </c>
      <c r="M190" s="60">
        <v>0</v>
      </c>
      <c r="N190" s="60">
        <v>0</v>
      </c>
      <c r="O190" s="60">
        <v>-7.6</v>
      </c>
      <c r="P190" s="60">
        <v>-7.6</v>
      </c>
      <c r="Q190" s="61"/>
      <c r="R190" s="61"/>
      <c r="S190" s="59" t="s">
        <v>340</v>
      </c>
      <c r="U190" s="53"/>
      <c r="V190" s="53"/>
      <c r="W190" s="53"/>
      <c r="X190" s="53"/>
      <c r="Y190" s="53"/>
      <c r="Z190" s="53"/>
      <c r="AA190" s="53"/>
      <c r="AB190" s="53"/>
      <c r="AC190" s="53"/>
      <c r="AD190" s="53"/>
      <c r="AE190" s="53"/>
      <c r="AF190" s="53"/>
      <c r="AG190" s="53"/>
    </row>
    <row r="191" spans="2:33" ht="15" customHeight="1" x14ac:dyDescent="0.25">
      <c r="B191" s="135" t="str">
        <f>HYPERLINK("https://www.pbo.gov.au/elections/2025-general-election/2025-election-commitments-costings/ovarian-cancer-australia", "ECR-2025-2819")</f>
        <v>ECR-2025-2819</v>
      </c>
      <c r="C191" s="59" t="s">
        <v>187</v>
      </c>
      <c r="D191" s="60">
        <v>-2</v>
      </c>
      <c r="E191" s="60">
        <v>-2</v>
      </c>
      <c r="F191" s="60">
        <v>0</v>
      </c>
      <c r="G191" s="60">
        <v>0</v>
      </c>
      <c r="H191" s="60">
        <v>0</v>
      </c>
      <c r="I191" s="60">
        <v>0</v>
      </c>
      <c r="J191" s="60">
        <v>0</v>
      </c>
      <c r="K191" s="60">
        <v>0</v>
      </c>
      <c r="L191" s="60">
        <v>0</v>
      </c>
      <c r="M191" s="60">
        <v>0</v>
      </c>
      <c r="N191" s="60">
        <v>0</v>
      </c>
      <c r="O191" s="60">
        <v>-4</v>
      </c>
      <c r="P191" s="60">
        <v>-4</v>
      </c>
      <c r="Q191" s="61"/>
      <c r="R191" s="61"/>
      <c r="S191" s="59" t="s">
        <v>280</v>
      </c>
      <c r="U191" s="53"/>
      <c r="V191" s="53"/>
      <c r="W191" s="53"/>
      <c r="X191" s="53"/>
      <c r="Y191" s="53"/>
      <c r="Z191" s="53"/>
      <c r="AA191" s="53"/>
      <c r="AB191" s="53"/>
      <c r="AC191" s="53"/>
      <c r="AD191" s="53"/>
      <c r="AE191" s="53"/>
      <c r="AF191" s="53"/>
      <c r="AG191" s="53"/>
    </row>
    <row r="192" spans="2:33" ht="15" customHeight="1" x14ac:dyDescent="0.25">
      <c r="B192" s="135" t="str">
        <f>HYPERLINK("https://www.pbo.gov.au/elections/2025-general-election/2025-election-commitments-costings/permanently-restoring-20-psychology-sessions-and-investing-headspace-centres-youth-psychosis-centres-and-additional-urgent-care-clinics", "ECR-2025-2164")</f>
        <v>ECR-2025-2164</v>
      </c>
      <c r="C192" s="59" t="s">
        <v>244</v>
      </c>
      <c r="D192" s="60">
        <v>-22.6</v>
      </c>
      <c r="E192" s="60">
        <v>-81.7</v>
      </c>
      <c r="F192" s="60">
        <v>-109.6</v>
      </c>
      <c r="G192" s="60">
        <v>-263.5</v>
      </c>
      <c r="H192" s="60">
        <v>-238.9</v>
      </c>
      <c r="I192" s="60">
        <v>-244.9</v>
      </c>
      <c r="J192" s="60">
        <v>-249.9</v>
      </c>
      <c r="K192" s="60">
        <v>-254.9</v>
      </c>
      <c r="L192" s="60">
        <v>-261</v>
      </c>
      <c r="M192" s="60">
        <v>-266</v>
      </c>
      <c r="N192" s="60">
        <v>-272</v>
      </c>
      <c r="O192" s="60">
        <v>-477.4</v>
      </c>
      <c r="P192" s="60">
        <v>-2265</v>
      </c>
      <c r="Q192" s="61"/>
      <c r="R192" s="61"/>
      <c r="S192" s="59" t="s">
        <v>341</v>
      </c>
      <c r="U192" s="53"/>
      <c r="V192" s="53"/>
      <c r="W192" s="53"/>
      <c r="X192" s="53"/>
      <c r="Y192" s="53"/>
      <c r="Z192" s="53"/>
      <c r="AA192" s="53"/>
      <c r="AB192" s="53"/>
      <c r="AC192" s="53"/>
      <c r="AD192" s="53"/>
      <c r="AE192" s="53"/>
      <c r="AF192" s="53"/>
      <c r="AG192" s="53"/>
    </row>
    <row r="193" spans="2:33" ht="15" customHeight="1" x14ac:dyDescent="0.25">
      <c r="B193" s="135" t="str">
        <f>HYPERLINK("https://www.pbo.gov.au/elections/2025-general-election/2025-election-commitments-costings/ready-to-read-program", "ECR-2025-2172")</f>
        <v>ECR-2025-2172</v>
      </c>
      <c r="C193" s="59" t="s">
        <v>173</v>
      </c>
      <c r="D193" s="60">
        <v>-0.6</v>
      </c>
      <c r="E193" s="60">
        <v>-0.6</v>
      </c>
      <c r="F193" s="60">
        <v>-1</v>
      </c>
      <c r="G193" s="60">
        <v>-1.6</v>
      </c>
      <c r="H193" s="60">
        <v>0</v>
      </c>
      <c r="I193" s="60">
        <v>0</v>
      </c>
      <c r="J193" s="60">
        <v>0</v>
      </c>
      <c r="K193" s="60">
        <v>0</v>
      </c>
      <c r="L193" s="60">
        <v>0</v>
      </c>
      <c r="M193" s="60">
        <v>0</v>
      </c>
      <c r="N193" s="60">
        <v>0</v>
      </c>
      <c r="O193" s="60">
        <v>-3.8</v>
      </c>
      <c r="P193" s="60">
        <v>-3.8</v>
      </c>
      <c r="Q193" s="61"/>
      <c r="R193" s="61"/>
      <c r="S193" s="59" t="s">
        <v>342</v>
      </c>
      <c r="U193" s="53"/>
      <c r="V193" s="53"/>
      <c r="W193" s="53"/>
      <c r="X193" s="53"/>
      <c r="Y193" s="53"/>
      <c r="Z193" s="53"/>
      <c r="AA193" s="53"/>
      <c r="AB193" s="53"/>
      <c r="AC193" s="53"/>
      <c r="AD193" s="53"/>
      <c r="AE193" s="53"/>
      <c r="AF193" s="53"/>
      <c r="AG193" s="53"/>
    </row>
    <row r="194" spans="2:33" ht="15" customHeight="1" x14ac:dyDescent="0.25">
      <c r="B194" s="135" t="str">
        <f>HYPERLINK("https://www.pbo.gov.au/elections/2025-general-election/2025-election-commitments-costings/Remote-Indigenous-student-success-boarding-fund", "ECR-2025-2719")</f>
        <v>ECR-2025-2719</v>
      </c>
      <c r="C194" s="59" t="s">
        <v>214</v>
      </c>
      <c r="D194" s="60">
        <v>-50</v>
      </c>
      <c r="E194" s="60">
        <v>-53.1</v>
      </c>
      <c r="F194" s="60">
        <v>-6.3</v>
      </c>
      <c r="G194" s="60">
        <v>-6.5</v>
      </c>
      <c r="H194" s="60">
        <v>-6.7</v>
      </c>
      <c r="I194" s="60">
        <v>0</v>
      </c>
      <c r="J194" s="60">
        <v>0</v>
      </c>
      <c r="K194" s="60">
        <v>0</v>
      </c>
      <c r="L194" s="60">
        <v>0</v>
      </c>
      <c r="M194" s="60">
        <v>0</v>
      </c>
      <c r="N194" s="60">
        <v>0</v>
      </c>
      <c r="O194" s="60">
        <v>-115.9</v>
      </c>
      <c r="P194" s="60">
        <v>-122.6</v>
      </c>
      <c r="Q194" s="61"/>
      <c r="R194" s="61"/>
      <c r="S194" s="59" t="s">
        <v>334</v>
      </c>
      <c r="U194" s="53"/>
      <c r="V194" s="53"/>
      <c r="W194" s="53"/>
      <c r="X194" s="53"/>
      <c r="Y194" s="53"/>
      <c r="Z194" s="53"/>
      <c r="AA194" s="53"/>
      <c r="AB194" s="53"/>
      <c r="AC194" s="53"/>
      <c r="AD194" s="53"/>
      <c r="AE194" s="53"/>
      <c r="AF194" s="53"/>
      <c r="AG194" s="53"/>
    </row>
    <row r="195" spans="2:33" ht="15" customHeight="1" x14ac:dyDescent="0.25">
      <c r="B195" s="135" t="str">
        <f>HYPERLINK("https://www.pbo.gov.au/elections/2025-general-election/2025-election-commitments-costings/Review%20of%20women-specific%20health%20items%20on%20the%20MBS%20and%20PBS", "ECR-2025-2747")</f>
        <v>ECR-2025-2747</v>
      </c>
      <c r="C195" s="59" t="s">
        <v>175</v>
      </c>
      <c r="D195" s="60">
        <v>-5</v>
      </c>
      <c r="E195" s="60">
        <v>0</v>
      </c>
      <c r="F195" s="60">
        <v>0</v>
      </c>
      <c r="G195" s="60">
        <v>0</v>
      </c>
      <c r="H195" s="60">
        <v>0</v>
      </c>
      <c r="I195" s="60">
        <v>0</v>
      </c>
      <c r="J195" s="60">
        <v>0</v>
      </c>
      <c r="K195" s="60">
        <v>0</v>
      </c>
      <c r="L195" s="60">
        <v>0</v>
      </c>
      <c r="M195" s="60">
        <v>0</v>
      </c>
      <c r="N195" s="60">
        <v>0</v>
      </c>
      <c r="O195" s="60">
        <v>-5</v>
      </c>
      <c r="P195" s="60">
        <v>-5</v>
      </c>
      <c r="Q195" s="61"/>
      <c r="R195" s="61"/>
      <c r="S195" s="59" t="s">
        <v>280</v>
      </c>
      <c r="U195" s="53"/>
      <c r="V195" s="53"/>
      <c r="W195" s="53"/>
      <c r="X195" s="53"/>
      <c r="Y195" s="53"/>
      <c r="Z195" s="53"/>
      <c r="AA195" s="53"/>
      <c r="AB195" s="53"/>
      <c r="AC195" s="53"/>
      <c r="AD195" s="53"/>
      <c r="AE195" s="53"/>
      <c r="AF195" s="53"/>
      <c r="AG195" s="53"/>
    </row>
    <row r="196" spans="2:33" ht="15" customHeight="1" x14ac:dyDescent="0.25">
      <c r="B196" s="59" t="s">
        <v>122</v>
      </c>
      <c r="C196" s="59" t="s">
        <v>408</v>
      </c>
      <c r="D196" s="60">
        <v>0</v>
      </c>
      <c r="E196" s="60">
        <v>0</v>
      </c>
      <c r="F196" s="60">
        <v>0</v>
      </c>
      <c r="G196" s="60">
        <v>0</v>
      </c>
      <c r="H196" s="60">
        <v>0</v>
      </c>
      <c r="I196" s="60">
        <v>0</v>
      </c>
      <c r="J196" s="60">
        <v>0</v>
      </c>
      <c r="K196" s="60">
        <v>0</v>
      </c>
      <c r="L196" s="60">
        <v>0</v>
      </c>
      <c r="M196" s="60">
        <v>0</v>
      </c>
      <c r="N196" s="60">
        <v>0</v>
      </c>
      <c r="O196" s="60">
        <v>0</v>
      </c>
      <c r="P196" s="60">
        <v>0</v>
      </c>
      <c r="Q196" s="61"/>
      <c r="R196" s="61"/>
      <c r="S196" s="59" t="s">
        <v>343</v>
      </c>
      <c r="U196" s="53"/>
      <c r="V196" s="53"/>
      <c r="W196" s="53"/>
      <c r="X196" s="53"/>
      <c r="Y196" s="53"/>
      <c r="Z196" s="53"/>
      <c r="AA196" s="53"/>
      <c r="AB196" s="53"/>
      <c r="AC196" s="53"/>
      <c r="AD196" s="53"/>
      <c r="AE196" s="53"/>
      <c r="AF196" s="53"/>
      <c r="AG196" s="53"/>
    </row>
    <row r="197" spans="2:33" ht="15" customHeight="1" x14ac:dyDescent="0.25">
      <c r="B197" s="59" t="s">
        <v>121</v>
      </c>
      <c r="C197" s="59" t="s">
        <v>409</v>
      </c>
      <c r="D197" s="60">
        <v>0</v>
      </c>
      <c r="E197" s="60">
        <v>0</v>
      </c>
      <c r="F197" s="60">
        <v>0</v>
      </c>
      <c r="G197" s="60">
        <v>0</v>
      </c>
      <c r="H197" s="60">
        <v>0</v>
      </c>
      <c r="I197" s="60">
        <v>0</v>
      </c>
      <c r="J197" s="60">
        <v>0</v>
      </c>
      <c r="K197" s="60">
        <v>0</v>
      </c>
      <c r="L197" s="60">
        <v>0</v>
      </c>
      <c r="M197" s="60">
        <v>0</v>
      </c>
      <c r="N197" s="60">
        <v>0</v>
      </c>
      <c r="O197" s="60">
        <v>0</v>
      </c>
      <c r="P197" s="60">
        <v>0</v>
      </c>
      <c r="Q197" s="61"/>
      <c r="R197" s="61"/>
      <c r="S197" s="59" t="s">
        <v>334</v>
      </c>
      <c r="U197" s="53"/>
      <c r="V197" s="53"/>
      <c r="W197" s="53"/>
      <c r="X197" s="53"/>
      <c r="Y197" s="53"/>
      <c r="Z197" s="53"/>
      <c r="AA197" s="53"/>
      <c r="AB197" s="53"/>
      <c r="AC197" s="53"/>
      <c r="AD197" s="53"/>
      <c r="AE197" s="53"/>
      <c r="AF197" s="53"/>
      <c r="AG197" s="53"/>
    </row>
    <row r="198" spans="2:33" ht="15" customHeight="1" x14ac:dyDescent="0.25">
      <c r="B198" s="135" t="str">
        <f>HYPERLINK("https://www.pbo.gov.au/elections/2025-general-election/2025-election-commitments-costings/specialised-care-subsidy-AEIOU-foundation", "ECR-2025-2432")</f>
        <v>ECR-2025-2432</v>
      </c>
      <c r="C198" s="59" t="s">
        <v>444</v>
      </c>
      <c r="D198" s="60">
        <v>-9</v>
      </c>
      <c r="E198" s="60">
        <v>-11</v>
      </c>
      <c r="F198" s="60">
        <v>-12</v>
      </c>
      <c r="G198" s="60">
        <v>-3</v>
      </c>
      <c r="H198" s="60">
        <v>0</v>
      </c>
      <c r="I198" s="60">
        <v>0</v>
      </c>
      <c r="J198" s="60">
        <v>0</v>
      </c>
      <c r="K198" s="60">
        <v>0</v>
      </c>
      <c r="L198" s="60">
        <v>0</v>
      </c>
      <c r="M198" s="60">
        <v>0</v>
      </c>
      <c r="N198" s="60">
        <v>0</v>
      </c>
      <c r="O198" s="60">
        <v>-35</v>
      </c>
      <c r="P198" s="60">
        <v>-35</v>
      </c>
      <c r="Q198" s="61"/>
      <c r="R198" s="61"/>
      <c r="S198" s="59" t="s">
        <v>333</v>
      </c>
      <c r="U198" s="53"/>
      <c r="V198" s="53"/>
      <c r="W198" s="53"/>
      <c r="X198" s="53"/>
      <c r="Y198" s="53"/>
      <c r="Z198" s="53"/>
      <c r="AA198" s="53"/>
      <c r="AB198" s="53"/>
      <c r="AC198" s="53"/>
      <c r="AD198" s="53"/>
      <c r="AE198" s="53"/>
      <c r="AF198" s="53"/>
      <c r="AG198" s="53"/>
    </row>
    <row r="199" spans="2:33" ht="15" customHeight="1" x14ac:dyDescent="0.25">
      <c r="B199" s="135" t="str">
        <f>HYPERLINK("https://www.pbo.gov.au/elections/2025-general-election/2025-election-commitments-costings/startup-year-loan-scheme-reprioritise", "ECR-2025-2763")</f>
        <v>ECR-2025-2763</v>
      </c>
      <c r="C199" s="59" t="s">
        <v>196</v>
      </c>
      <c r="D199" s="60">
        <v>11.1</v>
      </c>
      <c r="E199" s="60">
        <v>11.5</v>
      </c>
      <c r="F199" s="60">
        <v>12.3</v>
      </c>
      <c r="G199" s="60">
        <v>13.3</v>
      </c>
      <c r="H199" s="60">
        <v>14.1</v>
      </c>
      <c r="I199" s="60">
        <v>15.1</v>
      </c>
      <c r="J199" s="60">
        <v>16</v>
      </c>
      <c r="K199" s="60">
        <v>17</v>
      </c>
      <c r="L199" s="60">
        <v>18.2</v>
      </c>
      <c r="M199" s="60">
        <v>19.5</v>
      </c>
      <c r="N199" s="60">
        <v>20.6</v>
      </c>
      <c r="O199" s="60">
        <v>48.2</v>
      </c>
      <c r="P199" s="60">
        <v>168.7</v>
      </c>
      <c r="Q199" s="61"/>
      <c r="R199" s="61"/>
      <c r="S199" s="59" t="s">
        <v>261</v>
      </c>
      <c r="U199" s="53"/>
      <c r="V199" s="53"/>
      <c r="W199" s="53"/>
      <c r="X199" s="53"/>
      <c r="Y199" s="53"/>
      <c r="Z199" s="53"/>
      <c r="AA199" s="53"/>
      <c r="AB199" s="53"/>
      <c r="AC199" s="53"/>
      <c r="AD199" s="53"/>
      <c r="AE199" s="53"/>
      <c r="AF199" s="53"/>
      <c r="AG199" s="53"/>
    </row>
    <row r="200" spans="2:33" ht="15" customHeight="1" x14ac:dyDescent="0.25">
      <c r="B200" s="135" t="str">
        <f>HYPERLINK("https://www.pbo.gov.au/elections/2025-general-election/2025-election-commitments-costings/stay-afloat-australia-additional-support", "ECR-2025-2730")</f>
        <v>ECR-2025-2730</v>
      </c>
      <c r="C200" s="59" t="s">
        <v>179</v>
      </c>
      <c r="D200" s="60">
        <v>-1</v>
      </c>
      <c r="E200" s="60">
        <v>-1</v>
      </c>
      <c r="F200" s="60">
        <v>0</v>
      </c>
      <c r="G200" s="60">
        <v>0</v>
      </c>
      <c r="H200" s="60">
        <v>0</v>
      </c>
      <c r="I200" s="60">
        <v>0</v>
      </c>
      <c r="J200" s="60">
        <v>0</v>
      </c>
      <c r="K200" s="60">
        <v>0</v>
      </c>
      <c r="L200" s="60">
        <v>0</v>
      </c>
      <c r="M200" s="60">
        <v>0</v>
      </c>
      <c r="N200" s="60">
        <v>0</v>
      </c>
      <c r="O200" s="60">
        <v>-2</v>
      </c>
      <c r="P200" s="60">
        <v>-2</v>
      </c>
      <c r="Q200" s="61"/>
      <c r="R200" s="61"/>
      <c r="S200" s="59" t="s">
        <v>294</v>
      </c>
      <c r="U200" s="53"/>
      <c r="V200" s="53"/>
      <c r="W200" s="53"/>
      <c r="X200" s="53"/>
      <c r="Y200" s="53"/>
      <c r="Z200" s="53"/>
      <c r="AA200" s="53"/>
      <c r="AB200" s="53"/>
      <c r="AC200" s="53"/>
      <c r="AD200" s="53"/>
      <c r="AE200" s="53"/>
      <c r="AF200" s="53"/>
      <c r="AG200" s="53"/>
    </row>
    <row r="201" spans="2:33" ht="15" customHeight="1" x14ac:dyDescent="0.25">
      <c r="B201" s="135" t="str">
        <f>HYPERLINK("https://www.pbo.gov.au/elections/2025-general-election/2025-election-commitments-costings/Suicide-Prevention-Research-Fund", "ECR-2025-2194")</f>
        <v>ECR-2025-2194</v>
      </c>
      <c r="C201" s="59" t="s">
        <v>176</v>
      </c>
      <c r="D201" s="60">
        <v>-3.8</v>
      </c>
      <c r="E201" s="60">
        <v>-3.8</v>
      </c>
      <c r="F201" s="60">
        <v>-3.7</v>
      </c>
      <c r="G201" s="60">
        <v>-3.7</v>
      </c>
      <c r="H201" s="60">
        <v>0</v>
      </c>
      <c r="I201" s="60">
        <v>0</v>
      </c>
      <c r="J201" s="60">
        <v>0</v>
      </c>
      <c r="K201" s="60">
        <v>0</v>
      </c>
      <c r="L201" s="60">
        <v>0</v>
      </c>
      <c r="M201" s="60">
        <v>0</v>
      </c>
      <c r="N201" s="60">
        <v>0</v>
      </c>
      <c r="O201" s="60">
        <v>-15</v>
      </c>
      <c r="P201" s="60">
        <v>-15</v>
      </c>
      <c r="Q201" s="61"/>
      <c r="R201" s="61"/>
      <c r="S201" s="59" t="s">
        <v>344</v>
      </c>
      <c r="U201" s="53"/>
      <c r="V201" s="53"/>
      <c r="W201" s="53"/>
      <c r="X201" s="53"/>
      <c r="Y201" s="53"/>
      <c r="Z201" s="53"/>
      <c r="AA201" s="53"/>
      <c r="AB201" s="53"/>
      <c r="AC201" s="53"/>
      <c r="AD201" s="53"/>
      <c r="AE201" s="53"/>
      <c r="AF201" s="53"/>
      <c r="AG201" s="53"/>
    </row>
    <row r="202" spans="2:33" ht="15" customHeight="1" x14ac:dyDescent="0.25">
      <c r="B202" s="135" t="str">
        <f>HYPERLINK("https://www.pbo.gov.au/elections/2025-general-election/2025-election-commitments-costings/Superannuation%20on%20Paid%20Parental%20Leave%20%E2%80%93%20parental%20choice", "ECR-2025-2281")</f>
        <v>ECR-2025-2281</v>
      </c>
      <c r="C202" s="59" t="s">
        <v>224</v>
      </c>
      <c r="D202" s="60">
        <v>51.9</v>
      </c>
      <c r="E202" s="60">
        <v>73.5</v>
      </c>
      <c r="F202" s="60">
        <v>73.900000000000006</v>
      </c>
      <c r="G202" s="60">
        <v>71.900000000000006</v>
      </c>
      <c r="H202" s="60">
        <v>70.2</v>
      </c>
      <c r="I202" s="60">
        <v>68</v>
      </c>
      <c r="J202" s="60">
        <v>64.900000000000006</v>
      </c>
      <c r="K202" s="60">
        <v>61.1</v>
      </c>
      <c r="L202" s="60">
        <v>55.3</v>
      </c>
      <c r="M202" s="60">
        <v>49.6</v>
      </c>
      <c r="N202" s="60">
        <v>42.1</v>
      </c>
      <c r="O202" s="60">
        <v>271.2</v>
      </c>
      <c r="P202" s="60">
        <v>682.4</v>
      </c>
      <c r="Q202" s="61"/>
      <c r="R202" s="61"/>
      <c r="S202" s="59" t="s">
        <v>345</v>
      </c>
      <c r="U202" s="53"/>
      <c r="V202" s="53"/>
      <c r="W202" s="53"/>
      <c r="X202" s="53"/>
      <c r="Y202" s="53"/>
      <c r="Z202" s="53"/>
      <c r="AA202" s="53"/>
      <c r="AB202" s="53"/>
      <c r="AC202" s="53"/>
      <c r="AD202" s="53"/>
      <c r="AE202" s="53"/>
      <c r="AF202" s="53"/>
      <c r="AG202" s="53"/>
    </row>
    <row r="203" spans="2:33" ht="15" customHeight="1" x14ac:dyDescent="0.25">
      <c r="B203" s="135" t="str">
        <f>HYPERLINK("https://www.pbo.gov.au/elections/2025-general-election/2025-election-commitments-costings/Support%20for%20Disaster%20Relief%20Australia%20for%20a%20National%20Veterans%20Volunteer%20Program", "ECR-2025-2647")</f>
        <v>ECR-2025-2647</v>
      </c>
      <c r="C203" s="59" t="s">
        <v>186</v>
      </c>
      <c r="D203" s="60">
        <v>0</v>
      </c>
      <c r="E203" s="60">
        <v>-21.5</v>
      </c>
      <c r="F203" s="60">
        <v>-21.5</v>
      </c>
      <c r="G203" s="60">
        <v>-21.5</v>
      </c>
      <c r="H203" s="60">
        <v>0</v>
      </c>
      <c r="I203" s="60">
        <v>0</v>
      </c>
      <c r="J203" s="60">
        <v>0</v>
      </c>
      <c r="K203" s="60">
        <v>0</v>
      </c>
      <c r="L203" s="60">
        <v>0</v>
      </c>
      <c r="M203" s="60">
        <v>0</v>
      </c>
      <c r="N203" s="60">
        <v>0</v>
      </c>
      <c r="O203" s="60">
        <v>-64.5</v>
      </c>
      <c r="P203" s="60">
        <v>-64.5</v>
      </c>
      <c r="Q203" s="61"/>
      <c r="R203" s="61"/>
      <c r="S203" s="59" t="s">
        <v>257</v>
      </c>
      <c r="U203" s="53"/>
      <c r="V203" s="53"/>
      <c r="W203" s="53"/>
      <c r="X203" s="53"/>
      <c r="Y203" s="53"/>
      <c r="Z203" s="53"/>
      <c r="AA203" s="53"/>
      <c r="AB203" s="53"/>
      <c r="AC203" s="53"/>
      <c r="AD203" s="53"/>
      <c r="AE203" s="53"/>
      <c r="AF203" s="53"/>
      <c r="AG203" s="53"/>
    </row>
    <row r="204" spans="2:33" ht="15" customHeight="1" x14ac:dyDescent="0.25">
      <c r="B204" s="135" t="str">
        <f>HYPERLINK("https://www.pbo.gov.au/elections/2025-general-election/2025-election-commitments-costings/Supporting%20Community%20Healthcare", "ECR-2025-2448")</f>
        <v>ECR-2025-2448</v>
      </c>
      <c r="C204" s="59" t="s">
        <v>445</v>
      </c>
      <c r="D204" s="60">
        <v>-9.9</v>
      </c>
      <c r="E204" s="60">
        <v>-5.3</v>
      </c>
      <c r="F204" s="60">
        <v>-5.3</v>
      </c>
      <c r="G204" s="60">
        <v>-5.3</v>
      </c>
      <c r="H204" s="60">
        <v>0</v>
      </c>
      <c r="I204" s="60">
        <v>0</v>
      </c>
      <c r="J204" s="60">
        <v>0</v>
      </c>
      <c r="K204" s="60">
        <v>0</v>
      </c>
      <c r="L204" s="60">
        <v>0</v>
      </c>
      <c r="M204" s="60">
        <v>0</v>
      </c>
      <c r="N204" s="60">
        <v>0</v>
      </c>
      <c r="O204" s="60">
        <v>-25.8</v>
      </c>
      <c r="P204" s="60">
        <v>-25.8</v>
      </c>
      <c r="Q204" s="61"/>
      <c r="R204" s="61"/>
      <c r="S204" s="59" t="s">
        <v>261</v>
      </c>
      <c r="U204" s="53"/>
      <c r="V204" s="53"/>
      <c r="W204" s="53"/>
      <c r="X204" s="53"/>
      <c r="Y204" s="53"/>
      <c r="Z204" s="53"/>
      <c r="AA204" s="53"/>
      <c r="AB204" s="53"/>
      <c r="AC204" s="53"/>
      <c r="AD204" s="53"/>
      <c r="AE204" s="53"/>
      <c r="AF204" s="53"/>
      <c r="AG204" s="53"/>
    </row>
    <row r="205" spans="2:33" ht="15" customHeight="1" x14ac:dyDescent="0.25">
      <c r="B205" s="135" t="str">
        <f>HYPERLINK("https://www.pbo.gov.au/elections/2025-general-election/2025-election-commitments-costings/Supporting%20the%20first%20Hindu%20faith%20school%20in%20Australia", "ECR-2025-2089")</f>
        <v>ECR-2025-2089</v>
      </c>
      <c r="C205" s="59" t="s">
        <v>446</v>
      </c>
      <c r="D205" s="60">
        <v>-1</v>
      </c>
      <c r="E205" s="60">
        <v>-2.7</v>
      </c>
      <c r="F205" s="60">
        <v>-2.6</v>
      </c>
      <c r="G205" s="60">
        <v>-2.6</v>
      </c>
      <c r="H205" s="60">
        <v>0</v>
      </c>
      <c r="I205" s="60">
        <v>0</v>
      </c>
      <c r="J205" s="60">
        <v>0</v>
      </c>
      <c r="K205" s="60">
        <v>0</v>
      </c>
      <c r="L205" s="60">
        <v>0</v>
      </c>
      <c r="M205" s="60">
        <v>0</v>
      </c>
      <c r="N205" s="60">
        <v>0</v>
      </c>
      <c r="O205" s="60">
        <v>-8.9</v>
      </c>
      <c r="P205" s="60">
        <v>-8.9</v>
      </c>
      <c r="Q205" s="61"/>
      <c r="R205" s="61"/>
      <c r="S205" s="59" t="s">
        <v>346</v>
      </c>
      <c r="U205" s="53"/>
      <c r="V205" s="53"/>
      <c r="W205" s="53"/>
      <c r="X205" s="53"/>
      <c r="Y205" s="53"/>
      <c r="Z205" s="53"/>
      <c r="AA205" s="53"/>
      <c r="AB205" s="53"/>
      <c r="AC205" s="53"/>
      <c r="AD205" s="53"/>
      <c r="AE205" s="53"/>
      <c r="AF205" s="53"/>
      <c r="AG205" s="53"/>
    </row>
    <row r="206" spans="2:33" ht="15" customHeight="1" x14ac:dyDescent="0.25">
      <c r="B206" s="135" t="str">
        <f>HYPERLINK("https://www.pbo.gov.au/elections/2025-general-election/2025-election-commitments-costings/teach-maths-australia", "ECR-2025-2580")</f>
        <v>ECR-2025-2580</v>
      </c>
      <c r="C206" s="59" t="s">
        <v>184</v>
      </c>
      <c r="D206" s="60">
        <v>-0.4</v>
      </c>
      <c r="E206" s="60">
        <v>-1.3</v>
      </c>
      <c r="F206" s="60">
        <v>-9.8000000000000007</v>
      </c>
      <c r="G206" s="60">
        <v>-18.7</v>
      </c>
      <c r="H206" s="60">
        <v>-10</v>
      </c>
      <c r="I206" s="60">
        <v>0</v>
      </c>
      <c r="J206" s="60">
        <v>0</v>
      </c>
      <c r="K206" s="60">
        <v>0</v>
      </c>
      <c r="L206" s="60">
        <v>0</v>
      </c>
      <c r="M206" s="60">
        <v>0</v>
      </c>
      <c r="N206" s="60">
        <v>0</v>
      </c>
      <c r="O206" s="60">
        <v>-30.2</v>
      </c>
      <c r="P206" s="60">
        <v>-40.200000000000003</v>
      </c>
      <c r="Q206" s="61"/>
      <c r="R206" s="61"/>
      <c r="S206" s="59" t="s">
        <v>334</v>
      </c>
      <c r="U206" s="53"/>
      <c r="V206" s="53"/>
      <c r="W206" s="53"/>
      <c r="X206" s="53"/>
      <c r="Y206" s="53"/>
      <c r="Z206" s="53"/>
      <c r="AA206" s="53"/>
      <c r="AB206" s="53"/>
      <c r="AC206" s="53"/>
      <c r="AD206" s="53"/>
      <c r="AE206" s="53"/>
      <c r="AF206" s="53"/>
      <c r="AG206" s="53"/>
    </row>
    <row r="207" spans="2:33" ht="15" customHeight="1" x14ac:dyDescent="0.25">
      <c r="B207" s="59" t="s">
        <v>124</v>
      </c>
      <c r="C207" s="59" t="s">
        <v>410</v>
      </c>
      <c r="D207" s="60">
        <v>0</v>
      </c>
      <c r="E207" s="60">
        <v>0</v>
      </c>
      <c r="F207" s="60">
        <v>0</v>
      </c>
      <c r="G207" s="60">
        <v>0</v>
      </c>
      <c r="H207" s="60">
        <v>0</v>
      </c>
      <c r="I207" s="60">
        <v>0</v>
      </c>
      <c r="J207" s="60">
        <v>0</v>
      </c>
      <c r="K207" s="60">
        <v>0</v>
      </c>
      <c r="L207" s="60">
        <v>0</v>
      </c>
      <c r="M207" s="60">
        <v>0</v>
      </c>
      <c r="N207" s="60">
        <v>0</v>
      </c>
      <c r="O207" s="60">
        <v>0</v>
      </c>
      <c r="P207" s="60">
        <v>0</v>
      </c>
      <c r="Q207" s="61"/>
      <c r="R207" s="61"/>
      <c r="S207" s="59" t="s">
        <v>261</v>
      </c>
      <c r="U207" s="53"/>
      <c r="V207" s="53"/>
      <c r="W207" s="53"/>
      <c r="X207" s="53"/>
      <c r="Y207" s="53"/>
      <c r="Z207" s="53"/>
      <c r="AA207" s="53"/>
      <c r="AB207" s="53"/>
      <c r="AC207" s="53"/>
      <c r="AD207" s="53"/>
      <c r="AE207" s="53"/>
      <c r="AF207" s="53"/>
      <c r="AG207" s="53"/>
    </row>
    <row r="208" spans="2:33" ht="15" customHeight="1" x14ac:dyDescent="0.25">
      <c r="B208" s="135" t="str">
        <f>HYPERLINK("https://www.pbo.gov.au/elections/2025-general-election/2025-election-commitments-costings/veterans-and-families-hubs", "ECR-2025-2415")</f>
        <v>ECR-2025-2415</v>
      </c>
      <c r="C208" s="59" t="s">
        <v>174</v>
      </c>
      <c r="D208" s="60">
        <v>-32.299999999999997</v>
      </c>
      <c r="E208" s="60">
        <v>0</v>
      </c>
      <c r="F208" s="60">
        <v>0</v>
      </c>
      <c r="G208" s="60">
        <v>0</v>
      </c>
      <c r="H208" s="60">
        <v>0</v>
      </c>
      <c r="I208" s="60">
        <v>0</v>
      </c>
      <c r="J208" s="60">
        <v>0</v>
      </c>
      <c r="K208" s="60">
        <v>0</v>
      </c>
      <c r="L208" s="60">
        <v>0</v>
      </c>
      <c r="M208" s="60">
        <v>0</v>
      </c>
      <c r="N208" s="60">
        <v>0</v>
      </c>
      <c r="O208" s="60">
        <v>-32.299999999999997</v>
      </c>
      <c r="P208" s="60">
        <v>-32.299999999999997</v>
      </c>
      <c r="Q208" s="61"/>
      <c r="R208" s="61"/>
      <c r="S208" s="59" t="s">
        <v>257</v>
      </c>
      <c r="U208" s="53"/>
      <c r="V208" s="53"/>
      <c r="W208" s="53"/>
      <c r="X208" s="53"/>
      <c r="Y208" s="53"/>
      <c r="Z208" s="53"/>
      <c r="AA208" s="53"/>
      <c r="AB208" s="53"/>
      <c r="AC208" s="53"/>
      <c r="AD208" s="53"/>
      <c r="AE208" s="53"/>
      <c r="AF208" s="53"/>
      <c r="AG208" s="53"/>
    </row>
    <row r="209" spans="2:33" ht="15" customHeight="1" x14ac:dyDescent="0.25">
      <c r="B209" s="135" t="str">
        <f>HYPERLINK("https://www.pbo.gov.au/elections/2025-general-election/2025-election-commitments-costings/veterans-chaplaincy-program", "ECR-2025-2595")</f>
        <v>ECR-2025-2595</v>
      </c>
      <c r="C209" s="59" t="s">
        <v>185</v>
      </c>
      <c r="D209" s="60">
        <v>-1</v>
      </c>
      <c r="E209" s="60">
        <v>-1</v>
      </c>
      <c r="F209" s="60">
        <v>-1</v>
      </c>
      <c r="G209" s="60">
        <v>-1</v>
      </c>
      <c r="H209" s="60">
        <v>0</v>
      </c>
      <c r="I209" s="60">
        <v>0</v>
      </c>
      <c r="J209" s="60">
        <v>0</v>
      </c>
      <c r="K209" s="60">
        <v>0</v>
      </c>
      <c r="L209" s="60">
        <v>0</v>
      </c>
      <c r="M209" s="60">
        <v>0</v>
      </c>
      <c r="N209" s="60">
        <v>0</v>
      </c>
      <c r="O209" s="60">
        <v>-4</v>
      </c>
      <c r="P209" s="60">
        <v>-4</v>
      </c>
      <c r="Q209" s="61"/>
      <c r="R209" s="61"/>
      <c r="S209" s="59" t="s">
        <v>257</v>
      </c>
      <c r="U209" s="53"/>
      <c r="V209" s="53"/>
      <c r="W209" s="53"/>
      <c r="X209" s="53"/>
      <c r="Y209" s="53"/>
      <c r="Z209" s="53"/>
      <c r="AA209" s="53"/>
      <c r="AB209" s="53"/>
      <c r="AC209" s="53"/>
      <c r="AD209" s="53"/>
      <c r="AE209" s="53"/>
      <c r="AF209" s="53"/>
      <c r="AG209" s="53"/>
    </row>
    <row r="210" spans="2:33" ht="15" customHeight="1" x14ac:dyDescent="0.25">
      <c r="B210" s="135" t="str">
        <f>HYPERLINK("https://www.pbo.gov.au/elections/2025-general-election/2025-election-commitments-costings/veterans-guild-support", "ECR-2025-2813")</f>
        <v>ECR-2025-2813</v>
      </c>
      <c r="C210" s="59" t="s">
        <v>181</v>
      </c>
      <c r="D210" s="60">
        <v>-1.1000000000000001</v>
      </c>
      <c r="E210" s="60">
        <v>-1.4</v>
      </c>
      <c r="F210" s="60">
        <v>-1.2</v>
      </c>
      <c r="G210" s="60">
        <v>-1.3</v>
      </c>
      <c r="H210" s="60">
        <v>0</v>
      </c>
      <c r="I210" s="60">
        <v>0</v>
      </c>
      <c r="J210" s="60">
        <v>0</v>
      </c>
      <c r="K210" s="60">
        <v>0</v>
      </c>
      <c r="L210" s="60">
        <v>0</v>
      </c>
      <c r="M210" s="60">
        <v>0</v>
      </c>
      <c r="N210" s="60">
        <v>0</v>
      </c>
      <c r="O210" s="60">
        <v>-5</v>
      </c>
      <c r="P210" s="60">
        <v>-5</v>
      </c>
      <c r="Q210" s="61"/>
      <c r="R210" s="61"/>
      <c r="S210" s="59" t="s">
        <v>257</v>
      </c>
      <c r="U210" s="53"/>
      <c r="V210" s="53"/>
      <c r="W210" s="53"/>
      <c r="X210" s="53"/>
      <c r="Y210" s="53"/>
      <c r="Z210" s="53"/>
      <c r="AA210" s="53"/>
      <c r="AB210" s="53"/>
      <c r="AC210" s="53"/>
      <c r="AD210" s="53"/>
      <c r="AE210" s="53"/>
      <c r="AF210" s="53"/>
      <c r="AG210" s="53"/>
    </row>
    <row r="211" spans="2:33" ht="15" customHeight="1" x14ac:dyDescent="0.25">
      <c r="B211" s="62" t="s">
        <v>380</v>
      </c>
      <c r="C211" s="62"/>
      <c r="D211" s="63">
        <v>-378</v>
      </c>
      <c r="E211" s="63">
        <v>-238</v>
      </c>
      <c r="F211" s="63">
        <v>-100.5</v>
      </c>
      <c r="G211" s="63">
        <v>-209</v>
      </c>
      <c r="H211" s="63">
        <v>-109.9</v>
      </c>
      <c r="I211" s="63">
        <v>-90</v>
      </c>
      <c r="J211" s="63">
        <v>-85.2</v>
      </c>
      <c r="K211" s="63">
        <v>-81.099999999999994</v>
      </c>
      <c r="L211" s="63">
        <v>-82.9</v>
      </c>
      <c r="M211" s="63">
        <v>-78</v>
      </c>
      <c r="N211" s="63">
        <v>-77.8</v>
      </c>
      <c r="O211" s="63">
        <v>-925.5</v>
      </c>
      <c r="P211" s="63">
        <v>-1530.4</v>
      </c>
      <c r="Q211" s="64" t="s">
        <v>9</v>
      </c>
      <c r="R211" s="64"/>
      <c r="S211" s="62" t="s">
        <v>10</v>
      </c>
      <c r="U211" s="53"/>
      <c r="V211" s="53"/>
      <c r="W211" s="53"/>
      <c r="X211" s="53"/>
      <c r="Y211" s="53"/>
      <c r="Z211" s="53"/>
      <c r="AA211" s="53"/>
      <c r="AB211" s="53"/>
      <c r="AC211" s="53"/>
      <c r="AD211" s="53"/>
      <c r="AE211" s="53"/>
      <c r="AF211" s="53"/>
      <c r="AG211" s="53"/>
    </row>
    <row r="212" spans="2:33" ht="15" customHeight="1" x14ac:dyDescent="0.25">
      <c r="B212" s="81" t="s">
        <v>98</v>
      </c>
      <c r="C212" s="3"/>
      <c r="D212" s="55" t="s">
        <v>10</v>
      </c>
      <c r="E212" s="55" t="s">
        <v>10</v>
      </c>
      <c r="F212" s="55" t="s">
        <v>10</v>
      </c>
      <c r="G212" s="55" t="s">
        <v>10</v>
      </c>
      <c r="H212" s="55" t="s">
        <v>10</v>
      </c>
      <c r="I212" s="55" t="s">
        <v>10</v>
      </c>
      <c r="J212" s="55" t="s">
        <v>10</v>
      </c>
      <c r="K212" s="55" t="s">
        <v>10</v>
      </c>
      <c r="L212" s="55" t="s">
        <v>10</v>
      </c>
      <c r="M212" s="55" t="s">
        <v>10</v>
      </c>
      <c r="N212" s="55" t="s">
        <v>10</v>
      </c>
      <c r="O212" s="55" t="s">
        <v>10</v>
      </c>
      <c r="P212" s="55" t="s">
        <v>10</v>
      </c>
      <c r="Q212" s="4"/>
      <c r="R212" s="4"/>
      <c r="S212" s="3" t="s">
        <v>10</v>
      </c>
      <c r="U212" s="53"/>
      <c r="V212" s="53"/>
      <c r="W212" s="53"/>
      <c r="X212" s="53"/>
      <c r="Y212" s="53"/>
      <c r="Z212" s="53"/>
      <c r="AA212" s="53"/>
      <c r="AB212" s="53"/>
      <c r="AC212" s="53"/>
      <c r="AD212" s="53"/>
      <c r="AE212" s="53"/>
      <c r="AF212" s="53"/>
      <c r="AG212" s="53"/>
    </row>
    <row r="213" spans="2:33" ht="15" customHeight="1" x14ac:dyDescent="0.25">
      <c r="B213" s="135" t="str">
        <f>HYPERLINK("https://www.pbo.gov.au/elections/2025-general-election/2025-election-commitments-costings/deliver-national-gas-plan-additional-components", "ECR-2025-2506")</f>
        <v>ECR-2025-2506</v>
      </c>
      <c r="C213" s="59" t="s">
        <v>237</v>
      </c>
      <c r="D213" s="60">
        <v>-4</v>
      </c>
      <c r="E213" s="60">
        <v>-4.0999999999999996</v>
      </c>
      <c r="F213" s="60">
        <v>-4.0999999999999996</v>
      </c>
      <c r="G213" s="60">
        <v>-4.2</v>
      </c>
      <c r="H213" s="60">
        <v>-4.2</v>
      </c>
      <c r="I213" s="60">
        <v>-4.3</v>
      </c>
      <c r="J213" s="60">
        <v>-4.3</v>
      </c>
      <c r="K213" s="60">
        <v>-4.4000000000000004</v>
      </c>
      <c r="L213" s="60">
        <v>-4.5</v>
      </c>
      <c r="M213" s="60">
        <v>-4.5</v>
      </c>
      <c r="N213" s="60">
        <v>-4.5999999999999996</v>
      </c>
      <c r="O213" s="60">
        <v>-16.399999999999999</v>
      </c>
      <c r="P213" s="60">
        <v>-47.2</v>
      </c>
      <c r="Q213" s="61"/>
      <c r="R213" s="61"/>
      <c r="S213" s="59" t="s">
        <v>374</v>
      </c>
      <c r="U213" s="53"/>
      <c r="V213" s="53"/>
      <c r="W213" s="53"/>
      <c r="X213" s="53"/>
      <c r="Y213" s="53"/>
      <c r="Z213" s="53"/>
      <c r="AA213" s="53"/>
      <c r="AB213" s="53"/>
      <c r="AC213" s="53"/>
      <c r="AD213" s="53"/>
      <c r="AE213" s="53"/>
      <c r="AF213" s="53"/>
      <c r="AG213" s="53"/>
    </row>
    <row r="214" spans="2:33" ht="15" customHeight="1" x14ac:dyDescent="0.25">
      <c r="B214" s="135" t="str">
        <f>HYPERLINK("https://www.pbo.gov.au/elections/2025-general-election/2025-election-commitments-costings/deliver-national-gas-plan-east-coast-gas-reservation", "ECR-2025-2487")</f>
        <v>ECR-2025-2487</v>
      </c>
      <c r="C214" s="59" t="s">
        <v>220</v>
      </c>
      <c r="D214" s="60" t="s">
        <v>11</v>
      </c>
      <c r="E214" s="60" t="s">
        <v>11</v>
      </c>
      <c r="F214" s="60" t="s">
        <v>11</v>
      </c>
      <c r="G214" s="60" t="s">
        <v>11</v>
      </c>
      <c r="H214" s="60" t="s">
        <v>11</v>
      </c>
      <c r="I214" s="60" t="s">
        <v>11</v>
      </c>
      <c r="J214" s="60" t="s">
        <v>11</v>
      </c>
      <c r="K214" s="60" t="s">
        <v>11</v>
      </c>
      <c r="L214" s="60" t="s">
        <v>11</v>
      </c>
      <c r="M214" s="60" t="s">
        <v>11</v>
      </c>
      <c r="N214" s="60" t="s">
        <v>11</v>
      </c>
      <c r="O214" s="60" t="s">
        <v>11</v>
      </c>
      <c r="P214" s="60" t="s">
        <v>11</v>
      </c>
      <c r="Q214" s="61"/>
      <c r="R214" s="61"/>
      <c r="S214" s="59" t="s">
        <v>374</v>
      </c>
      <c r="U214" s="53"/>
      <c r="V214" s="53"/>
      <c r="W214" s="53"/>
      <c r="X214" s="53"/>
      <c r="Y214" s="53"/>
      <c r="Z214" s="53"/>
      <c r="AA214" s="53"/>
      <c r="AB214" s="53"/>
      <c r="AC214" s="53"/>
      <c r="AD214" s="53"/>
      <c r="AE214" s="53"/>
      <c r="AF214" s="53"/>
      <c r="AG214" s="53"/>
    </row>
    <row r="215" spans="2:33" ht="15" customHeight="1" x14ac:dyDescent="0.25">
      <c r="B215" s="135" t="str">
        <f>HYPERLINK("https://www.pbo.gov.au/elections/2025-general-election/2025-election-commitments-costings/Deliver-national-gas-plan-halve-environmental-approval-timelines-and-reform-offshore-gas-regulations", "ECR-2025-2390")</f>
        <v>ECR-2025-2390</v>
      </c>
      <c r="C215" s="59" t="s">
        <v>236</v>
      </c>
      <c r="D215" s="60">
        <v>-2.5</v>
      </c>
      <c r="E215" s="60">
        <v>-5</v>
      </c>
      <c r="F215" s="60">
        <v>0</v>
      </c>
      <c r="G215" s="60">
        <v>0</v>
      </c>
      <c r="H215" s="60">
        <v>0</v>
      </c>
      <c r="I215" s="60">
        <v>0</v>
      </c>
      <c r="J215" s="60">
        <v>0</v>
      </c>
      <c r="K215" s="60">
        <v>0</v>
      </c>
      <c r="L215" s="60">
        <v>0</v>
      </c>
      <c r="M215" s="60">
        <v>0</v>
      </c>
      <c r="N215" s="60">
        <v>0</v>
      </c>
      <c r="O215" s="60">
        <v>-7.5</v>
      </c>
      <c r="P215" s="60">
        <v>-7.5</v>
      </c>
      <c r="Q215" s="61"/>
      <c r="R215" s="61"/>
      <c r="S215" s="59" t="s">
        <v>374</v>
      </c>
      <c r="U215" s="53"/>
      <c r="V215" s="53"/>
      <c r="W215" s="53"/>
      <c r="X215" s="53"/>
      <c r="Y215" s="53"/>
      <c r="Z215" s="53"/>
      <c r="AA215" s="53"/>
      <c r="AB215" s="53"/>
      <c r="AC215" s="53"/>
      <c r="AD215" s="53"/>
      <c r="AE215" s="53"/>
      <c r="AF215" s="53"/>
      <c r="AG215" s="53"/>
    </row>
    <row r="216" spans="2:33" ht="15" customHeight="1" x14ac:dyDescent="0.25">
      <c r="B216" s="135" t="str">
        <f>HYPERLINK("https://www.pbo.gov.au/elections/2025-general-election/2025-election-commitments-costings/Deliver-national-gas-plan-implement-consistent-reporting-requirements-across-east-coast-gas-market", "ECR-2025-2176")</f>
        <v>ECR-2025-2176</v>
      </c>
      <c r="C216" s="59" t="s">
        <v>249</v>
      </c>
      <c r="D216" s="60">
        <v>-1.9</v>
      </c>
      <c r="E216" s="60">
        <v>-1.9</v>
      </c>
      <c r="F216" s="60">
        <v>0</v>
      </c>
      <c r="G216" s="60">
        <v>0</v>
      </c>
      <c r="H216" s="60">
        <v>0</v>
      </c>
      <c r="I216" s="60">
        <v>0</v>
      </c>
      <c r="J216" s="60">
        <v>0</v>
      </c>
      <c r="K216" s="60">
        <v>0</v>
      </c>
      <c r="L216" s="60">
        <v>0</v>
      </c>
      <c r="M216" s="60">
        <v>0</v>
      </c>
      <c r="N216" s="60">
        <v>0</v>
      </c>
      <c r="O216" s="60">
        <v>-3.8</v>
      </c>
      <c r="P216" s="60">
        <v>-3.8</v>
      </c>
      <c r="Q216" s="61"/>
      <c r="R216" s="61"/>
      <c r="S216" s="59" t="s">
        <v>374</v>
      </c>
      <c r="U216" s="53"/>
      <c r="V216" s="53"/>
      <c r="W216" s="53"/>
      <c r="X216" s="53"/>
      <c r="Y216" s="53"/>
      <c r="Z216" s="53"/>
      <c r="AA216" s="53"/>
      <c r="AB216" s="53"/>
      <c r="AC216" s="53"/>
      <c r="AD216" s="53"/>
      <c r="AE216" s="53"/>
      <c r="AF216" s="53"/>
      <c r="AG216" s="53"/>
    </row>
    <row r="217" spans="2:33" ht="15" customHeight="1" x14ac:dyDescent="0.25">
      <c r="B217" s="135" t="str">
        <f>HYPERLINK("https://www.pbo.gov.au/elections/2025-general-election/2025-election-commitments-costings/Deliver%20a%20National%20Gas%20Plan%20%E2%80%93%20introduce%20a%20gas%20security%20incentive", "ECR-2025-2363")</f>
        <v>ECR-2025-2363</v>
      </c>
      <c r="C217" s="59" t="s">
        <v>250</v>
      </c>
      <c r="D217" s="60">
        <v>-4.4000000000000004</v>
      </c>
      <c r="E217" s="60">
        <v>-4.4000000000000004</v>
      </c>
      <c r="F217" s="60">
        <v>-0.4</v>
      </c>
      <c r="G217" s="60">
        <v>-0.4</v>
      </c>
      <c r="H217" s="60">
        <v>-0.4</v>
      </c>
      <c r="I217" s="60">
        <v>-0.4</v>
      </c>
      <c r="J217" s="60">
        <v>-0.4</v>
      </c>
      <c r="K217" s="60">
        <v>-0.4</v>
      </c>
      <c r="L217" s="60">
        <v>-0.4</v>
      </c>
      <c r="M217" s="60">
        <v>-0.4</v>
      </c>
      <c r="N217" s="60">
        <v>-0.4</v>
      </c>
      <c r="O217" s="60">
        <v>-9.6</v>
      </c>
      <c r="P217" s="60">
        <v>-12.4</v>
      </c>
      <c r="Q217" s="61"/>
      <c r="R217" s="61"/>
      <c r="S217" s="59" t="s">
        <v>374</v>
      </c>
      <c r="U217" s="53"/>
      <c r="V217" s="53"/>
      <c r="W217" s="53"/>
      <c r="X217" s="53"/>
      <c r="Y217" s="53"/>
      <c r="Z217" s="53"/>
      <c r="AA217" s="53"/>
      <c r="AB217" s="53"/>
      <c r="AC217" s="53"/>
      <c r="AD217" s="53"/>
      <c r="AE217" s="53"/>
      <c r="AF217" s="53"/>
      <c r="AG217" s="53"/>
    </row>
    <row r="218" spans="2:33" ht="15" customHeight="1" x14ac:dyDescent="0.25">
      <c r="B218" s="135" t="str">
        <f>HYPERLINK("https://www.pbo.gov.au/elections/2025-general-election/2025-election-commitments-costings/deliver-national-gas-plan-reinstate-annual-acreage-releases-offshore-oil-and-gas-exploration", "ECR-2025-2398")</f>
        <v>ECR-2025-2398</v>
      </c>
      <c r="C218" s="59" t="s">
        <v>221</v>
      </c>
      <c r="D218" s="60">
        <v>-3.9</v>
      </c>
      <c r="E218" s="60">
        <v>-2.8</v>
      </c>
      <c r="F218" s="60">
        <v>-2.8</v>
      </c>
      <c r="G218" s="60">
        <v>-2.8</v>
      </c>
      <c r="H218" s="60">
        <v>-2.8</v>
      </c>
      <c r="I218" s="60">
        <v>-2.9</v>
      </c>
      <c r="J218" s="60">
        <v>-3</v>
      </c>
      <c r="K218" s="60">
        <v>-3</v>
      </c>
      <c r="L218" s="60">
        <v>-3</v>
      </c>
      <c r="M218" s="60">
        <v>-3.1</v>
      </c>
      <c r="N218" s="60">
        <v>-3.1</v>
      </c>
      <c r="O218" s="60">
        <v>-12.3</v>
      </c>
      <c r="P218" s="60">
        <v>-33.200000000000003</v>
      </c>
      <c r="Q218" s="61"/>
      <c r="R218" s="61"/>
      <c r="S218" s="59" t="s">
        <v>374</v>
      </c>
      <c r="U218" s="53"/>
      <c r="V218" s="53"/>
      <c r="W218" s="53"/>
      <c r="X218" s="53"/>
      <c r="Y218" s="53"/>
      <c r="Z218" s="53"/>
      <c r="AA218" s="53"/>
      <c r="AB218" s="53"/>
      <c r="AC218" s="53"/>
      <c r="AD218" s="53"/>
      <c r="AE218" s="53"/>
      <c r="AF218" s="53"/>
      <c r="AG218" s="53"/>
    </row>
    <row r="219" spans="2:33" ht="15" customHeight="1" x14ac:dyDescent="0.25">
      <c r="B219" s="135" t="str">
        <f>HYPERLINK("https://www.pbo.gov.au/elections/2025-general-election/2025-election-commitments-costings/Deliver%20a%20National%20Gas%20Plan%20%E2%80%93%20strengthen%20the%20Australian%20Domestic%20Gas%20Security%20Mechanism", "ECR-2025-2804")</f>
        <v>ECR-2025-2804</v>
      </c>
      <c r="C219" s="59" t="s">
        <v>234</v>
      </c>
      <c r="D219" s="60">
        <v>-0.4</v>
      </c>
      <c r="E219" s="60">
        <v>-0.4</v>
      </c>
      <c r="F219" s="60">
        <v>-0.4</v>
      </c>
      <c r="G219" s="60">
        <v>-0.4</v>
      </c>
      <c r="H219" s="60">
        <v>-0.4</v>
      </c>
      <c r="I219" s="60">
        <v>-0.4</v>
      </c>
      <c r="J219" s="60">
        <v>-0.4</v>
      </c>
      <c r="K219" s="60">
        <v>-0.4</v>
      </c>
      <c r="L219" s="60">
        <v>-0.4</v>
      </c>
      <c r="M219" s="60">
        <v>-0.4</v>
      </c>
      <c r="N219" s="60">
        <v>-0.4</v>
      </c>
      <c r="O219" s="60">
        <v>-1.6</v>
      </c>
      <c r="P219" s="60">
        <v>-4.4000000000000004</v>
      </c>
      <c r="Q219" s="61"/>
      <c r="R219" s="61"/>
      <c r="S219" s="59" t="s">
        <v>374</v>
      </c>
      <c r="U219" s="53"/>
      <c r="V219" s="53"/>
      <c r="W219" s="53"/>
      <c r="X219" s="53"/>
      <c r="Y219" s="53"/>
      <c r="Z219" s="53"/>
      <c r="AA219" s="53"/>
      <c r="AB219" s="53"/>
      <c r="AC219" s="53"/>
      <c r="AD219" s="53"/>
      <c r="AE219" s="53"/>
      <c r="AF219" s="53"/>
      <c r="AG219" s="53"/>
    </row>
    <row r="220" spans="2:33" ht="15" customHeight="1" x14ac:dyDescent="0.25">
      <c r="B220" s="135" t="str">
        <f>HYPERLINK("https://www.pbo.gov.au/elections/2025-general-election/2025-election-commitments-costings/establish-supermarket-commissioner", "ECR-2025-2573")</f>
        <v>ECR-2025-2573</v>
      </c>
      <c r="C220" s="59" t="s">
        <v>164</v>
      </c>
      <c r="D220" s="60">
        <v>-1.4</v>
      </c>
      <c r="E220" s="60">
        <v>-1</v>
      </c>
      <c r="F220" s="60">
        <v>-1</v>
      </c>
      <c r="G220" s="60">
        <v>-1</v>
      </c>
      <c r="H220" s="60">
        <v>-1</v>
      </c>
      <c r="I220" s="60">
        <v>-1</v>
      </c>
      <c r="J220" s="60">
        <v>-1</v>
      </c>
      <c r="K220" s="60">
        <v>-1</v>
      </c>
      <c r="L220" s="60">
        <v>-1</v>
      </c>
      <c r="M220" s="60">
        <v>-1.1000000000000001</v>
      </c>
      <c r="N220" s="60">
        <v>-1.1000000000000001</v>
      </c>
      <c r="O220" s="60">
        <v>-4.4000000000000004</v>
      </c>
      <c r="P220" s="60">
        <v>-11.6</v>
      </c>
      <c r="Q220" s="61"/>
      <c r="R220" s="61"/>
      <c r="S220" s="59" t="s">
        <v>312</v>
      </c>
      <c r="U220" s="53"/>
      <c r="V220" s="53"/>
      <c r="W220" s="53"/>
      <c r="X220" s="53"/>
      <c r="Y220" s="53"/>
      <c r="Z220" s="53"/>
      <c r="AA220" s="53"/>
      <c r="AB220" s="53"/>
      <c r="AC220" s="53"/>
      <c r="AD220" s="53"/>
      <c r="AE220" s="53"/>
      <c r="AF220" s="53"/>
      <c r="AG220" s="53"/>
    </row>
    <row r="221" spans="2:33" ht="15" customHeight="1" x14ac:dyDescent="0.25">
      <c r="B221" s="59" t="s">
        <v>118</v>
      </c>
      <c r="C221" s="59" t="s">
        <v>411</v>
      </c>
      <c r="D221" s="60">
        <v>0</v>
      </c>
      <c r="E221" s="60">
        <v>0</v>
      </c>
      <c r="F221" s="60">
        <v>0</v>
      </c>
      <c r="G221" s="60">
        <v>0</v>
      </c>
      <c r="H221" s="60">
        <v>0</v>
      </c>
      <c r="I221" s="60">
        <v>0</v>
      </c>
      <c r="J221" s="60">
        <v>0</v>
      </c>
      <c r="K221" s="60">
        <v>0</v>
      </c>
      <c r="L221" s="60">
        <v>0</v>
      </c>
      <c r="M221" s="60">
        <v>0</v>
      </c>
      <c r="N221" s="60">
        <v>0</v>
      </c>
      <c r="O221" s="60">
        <v>0</v>
      </c>
      <c r="P221" s="60">
        <v>0</v>
      </c>
      <c r="Q221" s="61"/>
      <c r="R221" s="61"/>
      <c r="S221" s="59" t="s">
        <v>261</v>
      </c>
      <c r="U221" s="53"/>
      <c r="V221" s="53"/>
      <c r="W221" s="53"/>
      <c r="X221" s="53"/>
      <c r="Y221" s="53"/>
      <c r="Z221" s="53"/>
      <c r="AA221" s="53"/>
      <c r="AB221" s="53"/>
      <c r="AC221" s="53"/>
      <c r="AD221" s="53"/>
      <c r="AE221" s="53"/>
      <c r="AF221" s="53"/>
      <c r="AG221" s="53"/>
    </row>
    <row r="222" spans="2:33" ht="15" customHeight="1" x14ac:dyDescent="0.25">
      <c r="B222" s="135" t="str">
        <f>HYPERLINK("https://www.pbo.gov.au/elections/2025-general-election/2025-election-commitments-costings/Future%20Generations%20Fund%20and%20Regional%20Australia%20Future%20Fund", "ECR-2025-2651")</f>
        <v>ECR-2025-2651</v>
      </c>
      <c r="C222" s="59" t="s">
        <v>251</v>
      </c>
      <c r="D222" s="60">
        <v>0</v>
      </c>
      <c r="E222" s="60">
        <v>-51</v>
      </c>
      <c r="F222" s="60">
        <v>-44</v>
      </c>
      <c r="G222" s="60">
        <v>-31</v>
      </c>
      <c r="H222" s="60">
        <v>-22</v>
      </c>
      <c r="I222" s="60">
        <v>-12</v>
      </c>
      <c r="J222" s="60">
        <v>0</v>
      </c>
      <c r="K222" s="60">
        <v>14</v>
      </c>
      <c r="L222" s="60">
        <v>28</v>
      </c>
      <c r="M222" s="60">
        <v>44</v>
      </c>
      <c r="N222" s="60">
        <v>62</v>
      </c>
      <c r="O222" s="60">
        <v>-126</v>
      </c>
      <c r="P222" s="60">
        <v>-12</v>
      </c>
      <c r="Q222" s="61"/>
      <c r="R222" s="61"/>
      <c r="S222" s="59" t="s">
        <v>313</v>
      </c>
      <c r="U222" s="53"/>
      <c r="V222" s="53"/>
      <c r="W222" s="53"/>
      <c r="X222" s="53"/>
      <c r="Y222" s="53"/>
      <c r="Z222" s="53"/>
      <c r="AA222" s="53"/>
      <c r="AB222" s="53"/>
      <c r="AC222" s="53"/>
      <c r="AD222" s="53"/>
      <c r="AE222" s="53"/>
      <c r="AF222" s="53"/>
      <c r="AG222" s="53"/>
    </row>
    <row r="223" spans="2:33" ht="15" customHeight="1" x14ac:dyDescent="0.25">
      <c r="B223" s="135" t="str">
        <f>HYPERLINK("https://www.pbo.gov.au/elections/2025-general-election/2025-election-commitments-costings/Halt-further-water-buybacks-currently-included-budget", "ECR-2025-2333")</f>
        <v>ECR-2025-2333</v>
      </c>
      <c r="C223" s="59" t="s">
        <v>235</v>
      </c>
      <c r="D223" s="60" t="s">
        <v>375</v>
      </c>
      <c r="E223" s="60" t="s">
        <v>375</v>
      </c>
      <c r="F223" s="60" t="s">
        <v>375</v>
      </c>
      <c r="G223" s="60" t="s">
        <v>375</v>
      </c>
      <c r="H223" s="60" t="s">
        <v>375</v>
      </c>
      <c r="I223" s="60" t="s">
        <v>375</v>
      </c>
      <c r="J223" s="60" t="s">
        <v>375</v>
      </c>
      <c r="K223" s="60" t="s">
        <v>375</v>
      </c>
      <c r="L223" s="60" t="s">
        <v>375</v>
      </c>
      <c r="M223" s="60" t="s">
        <v>375</v>
      </c>
      <c r="N223" s="60" t="s">
        <v>375</v>
      </c>
      <c r="O223" s="60" t="s">
        <v>375</v>
      </c>
      <c r="P223" s="60" t="s">
        <v>375</v>
      </c>
      <c r="Q223" s="61"/>
      <c r="R223" s="61"/>
      <c r="S223" s="59" t="s">
        <v>317</v>
      </c>
      <c r="U223" s="53"/>
      <c r="V223" s="53"/>
      <c r="W223" s="53"/>
      <c r="X223" s="53"/>
      <c r="Y223" s="53"/>
      <c r="Z223" s="53"/>
      <c r="AA223" s="53"/>
      <c r="AB223" s="53"/>
      <c r="AC223" s="53"/>
      <c r="AD223" s="53"/>
      <c r="AE223" s="53"/>
      <c r="AF223" s="53"/>
      <c r="AG223" s="53"/>
    </row>
    <row r="224" spans="2:33" ht="15" customHeight="1" x14ac:dyDescent="0.25">
      <c r="B224" s="135" t="str">
        <f>HYPERLINK("https://www.pbo.gov.au/elections/2025-general-election/2025-election-commitments-costings/Increase-total-funding-available-through-Australian-Infrastructure-Financing-Facility-for-Pacific", "ECR-2025-2074")</f>
        <v>ECR-2025-2074</v>
      </c>
      <c r="C224" s="59" t="s">
        <v>361</v>
      </c>
      <c r="D224" s="60">
        <v>0</v>
      </c>
      <c r="E224" s="60">
        <v>0</v>
      </c>
      <c r="F224" s="60">
        <v>0</v>
      </c>
      <c r="G224" s="60">
        <v>0</v>
      </c>
      <c r="H224" s="60">
        <v>-4.3</v>
      </c>
      <c r="I224" s="60">
        <v>-4</v>
      </c>
      <c r="J224" s="60">
        <v>-3.6</v>
      </c>
      <c r="K224" s="60">
        <v>-3.2</v>
      </c>
      <c r="L224" s="60">
        <v>-2.8</v>
      </c>
      <c r="M224" s="60">
        <v>-2.2999999999999998</v>
      </c>
      <c r="N224" s="60">
        <v>-1.9</v>
      </c>
      <c r="O224" s="60" t="s">
        <v>463</v>
      </c>
      <c r="P224" s="60">
        <v>-22.1</v>
      </c>
      <c r="Q224" s="61"/>
      <c r="R224" s="61"/>
      <c r="S224" s="59" t="s">
        <v>367</v>
      </c>
      <c r="U224" s="53"/>
      <c r="V224" s="53"/>
      <c r="W224" s="53"/>
      <c r="X224" s="53"/>
      <c r="Y224" s="53"/>
      <c r="Z224" s="53"/>
      <c r="AA224" s="53"/>
      <c r="AB224" s="53"/>
      <c r="AC224" s="53"/>
      <c r="AD224" s="53"/>
      <c r="AE224" s="53"/>
      <c r="AF224" s="53"/>
      <c r="AG224" s="53"/>
    </row>
    <row r="225" spans="2:33" ht="15" customHeight="1" x14ac:dyDescent="0.25">
      <c r="B225" s="135" t="str">
        <f>HYPERLINK("https://www.pbo.gov.au/elections/2025-general-election/2025-election-commitments-costings/Introduce-digital-alternative-cash-no-surcharge", "ECR-2025-2856")</f>
        <v>ECR-2025-2856</v>
      </c>
      <c r="C225" s="59" t="s">
        <v>204</v>
      </c>
      <c r="D225" s="60" t="s">
        <v>11</v>
      </c>
      <c r="E225" s="60" t="s">
        <v>11</v>
      </c>
      <c r="F225" s="60" t="s">
        <v>11</v>
      </c>
      <c r="G225" s="60" t="s">
        <v>11</v>
      </c>
      <c r="H225" s="60" t="s">
        <v>11</v>
      </c>
      <c r="I225" s="60" t="s">
        <v>11</v>
      </c>
      <c r="J225" s="60" t="s">
        <v>11</v>
      </c>
      <c r="K225" s="60" t="s">
        <v>11</v>
      </c>
      <c r="L225" s="60" t="s">
        <v>11</v>
      </c>
      <c r="M225" s="60" t="s">
        <v>11</v>
      </c>
      <c r="N225" s="60" t="s">
        <v>11</v>
      </c>
      <c r="O225" s="60" t="s">
        <v>11</v>
      </c>
      <c r="P225" s="60" t="s">
        <v>11</v>
      </c>
      <c r="Q225" s="61"/>
      <c r="R225" s="61"/>
      <c r="S225" s="59" t="s">
        <v>314</v>
      </c>
      <c r="U225" s="53"/>
      <c r="V225" s="53"/>
      <c r="W225" s="53"/>
      <c r="X225" s="53"/>
      <c r="Y225" s="53"/>
      <c r="Z225" s="53"/>
      <c r="AA225" s="53"/>
      <c r="AB225" s="53"/>
      <c r="AC225" s="53"/>
      <c r="AD225" s="53"/>
      <c r="AE225" s="53"/>
      <c r="AF225" s="53"/>
      <c r="AG225" s="53"/>
    </row>
    <row r="226" spans="2:33" ht="15" customHeight="1" x14ac:dyDescent="0.25">
      <c r="B226" s="135" t="str">
        <f>HYPERLINK("https://www.pbo.gov.au/elections/2025-general-election/2025-election-commitments-costings/Maintain%20Australian%20Border%20Force%20presence%20at%20Hobart%20Airport", "ECR-2025-2200")</f>
        <v>ECR-2025-2200</v>
      </c>
      <c r="C226" s="59" t="s">
        <v>205</v>
      </c>
      <c r="D226" s="60">
        <v>0</v>
      </c>
      <c r="E226" s="60">
        <v>-6.9</v>
      </c>
      <c r="F226" s="60">
        <v>-7</v>
      </c>
      <c r="G226" s="60">
        <v>-7.2</v>
      </c>
      <c r="H226" s="60">
        <v>-3.7</v>
      </c>
      <c r="I226" s="60">
        <v>0</v>
      </c>
      <c r="J226" s="60">
        <v>0</v>
      </c>
      <c r="K226" s="60">
        <v>0</v>
      </c>
      <c r="L226" s="60">
        <v>0</v>
      </c>
      <c r="M226" s="60">
        <v>0</v>
      </c>
      <c r="N226" s="60">
        <v>0</v>
      </c>
      <c r="O226" s="60">
        <v>-21.1</v>
      </c>
      <c r="P226" s="60">
        <v>-24.8</v>
      </c>
      <c r="Q226" s="61"/>
      <c r="R226" s="61"/>
      <c r="S226" s="59" t="s">
        <v>315</v>
      </c>
      <c r="U226" s="53"/>
      <c r="V226" s="53"/>
      <c r="W226" s="53"/>
      <c r="X226" s="53"/>
      <c r="Y226" s="53"/>
      <c r="Z226" s="53"/>
      <c r="AA226" s="53"/>
      <c r="AB226" s="53"/>
      <c r="AC226" s="53"/>
      <c r="AD226" s="53"/>
      <c r="AE226" s="53"/>
      <c r="AF226" s="53"/>
      <c r="AG226" s="53"/>
    </row>
    <row r="227" spans="2:33" ht="15" customHeight="1" x14ac:dyDescent="0.25">
      <c r="B227" s="135" t="str">
        <f>HYPERLINK("https://www.pbo.gov.au/elections/2025-general-election/2025-election-commitments-costings/reinstate-50-pass-mark-required-hecs-help-loans", "ECR-2025-2764")</f>
        <v>ECR-2025-2764</v>
      </c>
      <c r="C227" s="59" t="s">
        <v>222</v>
      </c>
      <c r="D227" s="60">
        <v>7.3</v>
      </c>
      <c r="E227" s="60">
        <v>15.4</v>
      </c>
      <c r="F227" s="60">
        <v>16.8</v>
      </c>
      <c r="G227" s="60">
        <v>18.5</v>
      </c>
      <c r="H227" s="60">
        <v>20.2</v>
      </c>
      <c r="I227" s="60">
        <v>22.3</v>
      </c>
      <c r="J227" s="60">
        <v>24.2</v>
      </c>
      <c r="K227" s="60">
        <v>26.5</v>
      </c>
      <c r="L227" s="60">
        <v>29</v>
      </c>
      <c r="M227" s="60">
        <v>31.7</v>
      </c>
      <c r="N227" s="60">
        <v>34.6</v>
      </c>
      <c r="O227" s="60">
        <v>58</v>
      </c>
      <c r="P227" s="60">
        <v>246.5</v>
      </c>
      <c r="Q227" s="61"/>
      <c r="R227" s="61"/>
      <c r="S227" s="59" t="s">
        <v>292</v>
      </c>
      <c r="U227" s="53"/>
      <c r="V227" s="53"/>
      <c r="W227" s="53"/>
      <c r="X227" s="53"/>
      <c r="Y227" s="53"/>
      <c r="Z227" s="53"/>
      <c r="AA227" s="53"/>
      <c r="AB227" s="53"/>
      <c r="AC227" s="53"/>
      <c r="AD227" s="53"/>
      <c r="AE227" s="53"/>
      <c r="AF227" s="53"/>
      <c r="AG227" s="53"/>
    </row>
    <row r="228" spans="2:33" ht="15" customHeight="1" x14ac:dyDescent="0.25">
      <c r="B228" s="135" t="str">
        <f>HYPERLINK("https://www.pbo.gov.au/elections/2025-general-election/2025-election-commitments-costings/Reinstate-8020-federal-funding-model-nationally-significant-road-projects-regional-and-remote-australia", "ECR-2025-2612")</f>
        <v>ECR-2025-2612</v>
      </c>
      <c r="C228" s="59" t="s">
        <v>238</v>
      </c>
      <c r="D228" s="60" t="s">
        <v>11</v>
      </c>
      <c r="E228" s="60" t="s">
        <v>11</v>
      </c>
      <c r="F228" s="60" t="s">
        <v>11</v>
      </c>
      <c r="G228" s="60" t="s">
        <v>11</v>
      </c>
      <c r="H228" s="60" t="s">
        <v>11</v>
      </c>
      <c r="I228" s="60" t="s">
        <v>11</v>
      </c>
      <c r="J228" s="60" t="s">
        <v>11</v>
      </c>
      <c r="K228" s="60" t="s">
        <v>11</v>
      </c>
      <c r="L228" s="60" t="s">
        <v>11</v>
      </c>
      <c r="M228" s="60" t="s">
        <v>11</v>
      </c>
      <c r="N228" s="60" t="s">
        <v>11</v>
      </c>
      <c r="O228" s="60" t="s">
        <v>11</v>
      </c>
      <c r="P228" s="60" t="s">
        <v>11</v>
      </c>
      <c r="Q228" s="61"/>
      <c r="R228" s="61"/>
      <c r="S228" s="59" t="s">
        <v>316</v>
      </c>
      <c r="U228" s="53"/>
      <c r="V228" s="53"/>
      <c r="W228" s="53"/>
      <c r="X228" s="53"/>
      <c r="Y228" s="53"/>
      <c r="Z228" s="53"/>
      <c r="AA228" s="53"/>
      <c r="AB228" s="53"/>
      <c r="AC228" s="53"/>
      <c r="AD228" s="53"/>
      <c r="AE228" s="53"/>
      <c r="AF228" s="53"/>
      <c r="AG228" s="53"/>
    </row>
    <row r="229" spans="2:33" ht="15" customHeight="1" x14ac:dyDescent="0.25">
      <c r="B229" s="62" t="s">
        <v>381</v>
      </c>
      <c r="C229" s="62"/>
      <c r="D229" s="63">
        <v>-11.2</v>
      </c>
      <c r="E229" s="63">
        <v>-62.1</v>
      </c>
      <c r="F229" s="63">
        <v>-42.9</v>
      </c>
      <c r="G229" s="63">
        <v>-28.5</v>
      </c>
      <c r="H229" s="63">
        <v>-18.600000000000001</v>
      </c>
      <c r="I229" s="63">
        <v>-2.7</v>
      </c>
      <c r="J229" s="63">
        <v>11.5</v>
      </c>
      <c r="K229" s="63">
        <v>28.1</v>
      </c>
      <c r="L229" s="63">
        <v>44.9</v>
      </c>
      <c r="M229" s="63">
        <v>63.9</v>
      </c>
      <c r="N229" s="63">
        <v>85.1</v>
      </c>
      <c r="O229" s="63">
        <v>-144.69999999999999</v>
      </c>
      <c r="P229" s="63">
        <v>67.5</v>
      </c>
      <c r="Q229" s="64" t="s">
        <v>9</v>
      </c>
      <c r="R229" s="64"/>
      <c r="S229" s="62" t="s">
        <v>10</v>
      </c>
      <c r="U229" s="53"/>
      <c r="V229" s="53"/>
      <c r="W229" s="53"/>
      <c r="X229" s="53"/>
      <c r="Y229" s="53"/>
      <c r="Z229" s="53"/>
      <c r="AA229" s="53"/>
      <c r="AB229" s="53"/>
      <c r="AC229" s="53"/>
      <c r="AD229" s="53"/>
      <c r="AE229" s="53"/>
      <c r="AF229" s="53"/>
      <c r="AG229" s="53"/>
    </row>
    <row r="230" spans="2:33" ht="15" customHeight="1" x14ac:dyDescent="0.25">
      <c r="B230" s="3" t="s">
        <v>13</v>
      </c>
      <c r="C230" s="3"/>
      <c r="D230" s="55">
        <v>-131.1</v>
      </c>
      <c r="E230" s="55">
        <v>-373</v>
      </c>
      <c r="F230" s="55">
        <v>-361.6</v>
      </c>
      <c r="G230" s="55">
        <v>-14</v>
      </c>
      <c r="H230" s="55">
        <v>453.8</v>
      </c>
      <c r="I230" s="55">
        <v>907.1</v>
      </c>
      <c r="J230" s="55">
        <v>1145.2</v>
      </c>
      <c r="K230" s="55">
        <v>1190.7</v>
      </c>
      <c r="L230" s="55">
        <v>1029.5999999999999</v>
      </c>
      <c r="M230" s="55">
        <v>587.1</v>
      </c>
      <c r="N230" s="55">
        <v>-47.5</v>
      </c>
      <c r="O230" s="55">
        <v>-879.6</v>
      </c>
      <c r="P230" s="55">
        <v>4386.3999999999996</v>
      </c>
      <c r="Q230" s="5" t="s">
        <v>14</v>
      </c>
      <c r="R230" s="4"/>
      <c r="S230" s="3"/>
      <c r="U230" s="53"/>
      <c r="V230" s="53"/>
      <c r="W230" s="53"/>
      <c r="X230" s="53"/>
      <c r="Y230" s="53"/>
      <c r="Z230" s="53"/>
      <c r="AA230" s="53"/>
      <c r="AB230" s="53"/>
      <c r="AC230" s="53"/>
      <c r="AD230" s="53"/>
      <c r="AE230" s="53"/>
      <c r="AF230" s="53"/>
      <c r="AG230" s="53"/>
    </row>
    <row r="231" spans="2:33" ht="15" customHeight="1" x14ac:dyDescent="0.25">
      <c r="B231" s="6" t="s">
        <v>616</v>
      </c>
      <c r="C231" s="6"/>
      <c r="D231" s="56">
        <v>-3550</v>
      </c>
      <c r="E231" s="56">
        <v>-4917.5</v>
      </c>
      <c r="F231" s="56">
        <v>8407.2999999999993</v>
      </c>
      <c r="G231" s="56">
        <v>10441.9</v>
      </c>
      <c r="H231" s="56">
        <v>15658.2</v>
      </c>
      <c r="I231" s="56">
        <v>9922.2999999999993</v>
      </c>
      <c r="J231" s="56">
        <v>6483.2</v>
      </c>
      <c r="K231" s="56">
        <v>1444.9</v>
      </c>
      <c r="L231" s="56">
        <v>-3975.7</v>
      </c>
      <c r="M231" s="56">
        <v>-11119.9</v>
      </c>
      <c r="N231" s="56">
        <v>-13030</v>
      </c>
      <c r="O231" s="56">
        <v>21098.400000000001</v>
      </c>
      <c r="P231" s="56">
        <v>26481.5</v>
      </c>
      <c r="Q231" s="7" t="s">
        <v>15</v>
      </c>
      <c r="R231" s="7" t="s">
        <v>16</v>
      </c>
      <c r="S231" s="6"/>
      <c r="U231" s="53"/>
      <c r="V231" s="53"/>
      <c r="W231" s="53"/>
      <c r="X231" s="53"/>
      <c r="Y231" s="53"/>
      <c r="Z231" s="53"/>
      <c r="AA231" s="53"/>
      <c r="AB231" s="53"/>
      <c r="AC231" s="53"/>
      <c r="AD231" s="53"/>
      <c r="AE231" s="53"/>
      <c r="AF231" s="53"/>
      <c r="AG231" s="53"/>
    </row>
    <row r="232" spans="2:33" ht="15" customHeight="1" x14ac:dyDescent="0.25">
      <c r="B232" s="58" t="s">
        <v>17</v>
      </c>
      <c r="C232" s="3"/>
      <c r="D232" s="55"/>
      <c r="E232" s="55"/>
      <c r="F232" s="55"/>
      <c r="G232" s="55"/>
      <c r="H232" s="55"/>
      <c r="I232" s="55"/>
      <c r="J232" s="55"/>
      <c r="K232" s="55"/>
      <c r="L232" s="55"/>
      <c r="M232" s="55"/>
      <c r="N232" s="55"/>
      <c r="O232" s="55"/>
      <c r="P232" s="55"/>
      <c r="Q232" s="4"/>
      <c r="R232" s="4"/>
      <c r="S232" s="3"/>
      <c r="U232" s="53"/>
      <c r="V232" s="53"/>
      <c r="W232" s="53"/>
      <c r="X232" s="53"/>
      <c r="Y232" s="53"/>
      <c r="Z232" s="53"/>
      <c r="AA232" s="53"/>
      <c r="AB232" s="53"/>
      <c r="AC232" s="53"/>
      <c r="AD232" s="53"/>
      <c r="AE232" s="53"/>
      <c r="AF232" s="53"/>
      <c r="AG232" s="53"/>
    </row>
    <row r="233" spans="2:33" ht="15" customHeight="1" x14ac:dyDescent="0.25">
      <c r="B233" s="58" t="s">
        <v>18</v>
      </c>
      <c r="C233" s="3"/>
      <c r="D233" s="55">
        <v>1276.5</v>
      </c>
      <c r="E233" s="55">
        <v>1269</v>
      </c>
      <c r="F233" s="55">
        <v>1491.8</v>
      </c>
      <c r="G233" s="55">
        <v>1741.4</v>
      </c>
      <c r="H233" s="55">
        <v>1945.9</v>
      </c>
      <c r="I233" s="55">
        <v>2008.5</v>
      </c>
      <c r="J233" s="55">
        <v>1966.4</v>
      </c>
      <c r="K233" s="55">
        <v>1870.7</v>
      </c>
      <c r="L233" s="55">
        <v>1726.2</v>
      </c>
      <c r="M233" s="55">
        <v>1517.1</v>
      </c>
      <c r="N233" s="55">
        <v>1248.5999999999999</v>
      </c>
      <c r="O233" s="55">
        <v>5794.2</v>
      </c>
      <c r="P233" s="55">
        <v>18077.599999999999</v>
      </c>
      <c r="Q233" s="4" t="s">
        <v>19</v>
      </c>
      <c r="R233" s="4"/>
      <c r="S233" s="3"/>
      <c r="U233" s="53"/>
      <c r="V233" s="53"/>
      <c r="W233" s="53"/>
      <c r="X233" s="53"/>
      <c r="Y233" s="53"/>
      <c r="Z233" s="53"/>
      <c r="AA233" s="53"/>
      <c r="AB233" s="53"/>
      <c r="AC233" s="53"/>
      <c r="AD233" s="53"/>
      <c r="AE233" s="53"/>
      <c r="AF233" s="53"/>
      <c r="AG233" s="53"/>
    </row>
    <row r="234" spans="2:33" ht="15" customHeight="1" x14ac:dyDescent="0.25">
      <c r="B234" s="135" t="s">
        <v>382</v>
      </c>
      <c r="C234" s="59" t="s">
        <v>389</v>
      </c>
      <c r="D234" s="60" t="s">
        <v>12</v>
      </c>
      <c r="E234" s="60">
        <v>-10</v>
      </c>
      <c r="F234" s="60">
        <v>-30</v>
      </c>
      <c r="G234" s="60">
        <v>-70</v>
      </c>
      <c r="H234" s="60">
        <v>-150</v>
      </c>
      <c r="I234" s="60">
        <v>-290</v>
      </c>
      <c r="J234" s="60">
        <v>-490</v>
      </c>
      <c r="K234" s="60">
        <v>-750</v>
      </c>
      <c r="L234" s="60">
        <v>-1060</v>
      </c>
      <c r="M234" s="60">
        <v>-1440</v>
      </c>
      <c r="N234" s="60">
        <v>-1930</v>
      </c>
      <c r="O234" s="60">
        <v>-110</v>
      </c>
      <c r="P234" s="60">
        <v>-6220</v>
      </c>
      <c r="Q234" s="61"/>
      <c r="R234" s="61"/>
      <c r="S234" s="59" t="s">
        <v>261</v>
      </c>
      <c r="U234" s="53"/>
      <c r="V234" s="53"/>
      <c r="W234" s="53"/>
      <c r="X234" s="53"/>
      <c r="Y234" s="53"/>
      <c r="Z234" s="53"/>
      <c r="AA234" s="53"/>
      <c r="AB234" s="53"/>
      <c r="AC234" s="53"/>
      <c r="AD234" s="53"/>
      <c r="AE234" s="53"/>
      <c r="AF234" s="53"/>
      <c r="AG234" s="53"/>
    </row>
    <row r="235" spans="2:33" ht="15" customHeight="1" x14ac:dyDescent="0.25">
      <c r="B235" s="136" t="str">
        <f>HYPERLINK("https://www.pbo.gov.au/elections/2025-general-election/2025-election-commitments-costings/cease-undersubscribed-covid-era-securitisation-measures", "ECR-2025-2065")</f>
        <v>ECR-2025-2065</v>
      </c>
      <c r="C235" s="59" t="s">
        <v>194</v>
      </c>
      <c r="D235" s="60">
        <v>680</v>
      </c>
      <c r="E235" s="60">
        <v>685</v>
      </c>
      <c r="F235" s="60">
        <v>690</v>
      </c>
      <c r="G235" s="60">
        <v>695</v>
      </c>
      <c r="H235" s="60">
        <v>701</v>
      </c>
      <c r="I235" s="60">
        <v>706</v>
      </c>
      <c r="J235" s="60">
        <v>712</v>
      </c>
      <c r="K235" s="60">
        <v>719</v>
      </c>
      <c r="L235" s="60">
        <v>726</v>
      </c>
      <c r="M235" s="60">
        <v>733</v>
      </c>
      <c r="N235" s="60">
        <v>763</v>
      </c>
      <c r="O235" s="60">
        <v>2750</v>
      </c>
      <c r="P235" s="60">
        <v>7810</v>
      </c>
      <c r="Q235" s="61"/>
      <c r="R235" s="61"/>
      <c r="S235" s="59" t="s">
        <v>261</v>
      </c>
      <c r="U235" s="53"/>
      <c r="V235" s="53"/>
      <c r="W235" s="53"/>
      <c r="X235" s="53"/>
      <c r="Y235" s="53"/>
      <c r="Z235" s="53"/>
      <c r="AA235" s="53"/>
      <c r="AB235" s="53"/>
      <c r="AC235" s="53"/>
      <c r="AD235" s="53"/>
      <c r="AE235" s="53"/>
      <c r="AF235" s="53"/>
      <c r="AG235" s="53"/>
    </row>
    <row r="236" spans="2:33" ht="15" customHeight="1" x14ac:dyDescent="0.25">
      <c r="B236" s="136" t="str">
        <f>HYPERLINK("https://www.pbo.gov.au/elections/2025-general-election/2025-election-commitments-costings/Increase-total-funding-available-through-Australian-Infrastructure-Financing-Facility-for-Pacific", "ECR-2025-2074")</f>
        <v>ECR-2025-2074</v>
      </c>
      <c r="C236" s="59" t="s">
        <v>361</v>
      </c>
      <c r="D236" s="60">
        <v>0</v>
      </c>
      <c r="E236" s="60">
        <v>0</v>
      </c>
      <c r="F236" s="60">
        <v>0</v>
      </c>
      <c r="G236" s="60">
        <v>0</v>
      </c>
      <c r="H236" s="60">
        <v>-4.2</v>
      </c>
      <c r="I236" s="60">
        <v>-12.5</v>
      </c>
      <c r="J236" s="60">
        <v>-20.3</v>
      </c>
      <c r="K236" s="60">
        <v>-27.7</v>
      </c>
      <c r="L236" s="60">
        <v>-34.700000000000003</v>
      </c>
      <c r="M236" s="60">
        <v>-41.3</v>
      </c>
      <c r="N236" s="60">
        <v>-47.4</v>
      </c>
      <c r="O236" s="60">
        <v>0</v>
      </c>
      <c r="P236" s="60">
        <v>-188.1</v>
      </c>
      <c r="Q236" s="61"/>
      <c r="R236" s="61"/>
      <c r="S236" s="59" t="s">
        <v>367</v>
      </c>
      <c r="U236" s="53"/>
      <c r="V236" s="53"/>
      <c r="W236" s="53"/>
      <c r="X236" s="53"/>
      <c r="Y236" s="53"/>
      <c r="Z236" s="53"/>
      <c r="AA236" s="53"/>
      <c r="AB236" s="53"/>
      <c r="AC236" s="53"/>
      <c r="AD236" s="53"/>
      <c r="AE236" s="53"/>
      <c r="AF236" s="53"/>
      <c r="AG236" s="53"/>
    </row>
    <row r="237" spans="2:33" ht="15" customHeight="1" x14ac:dyDescent="0.25">
      <c r="B237" s="136" t="str">
        <f>HYPERLINK("https://www.pbo.gov.au/elections/2025-general-election/2025-election-commitments-costings/Rewiring%20the%20Nation%20Fund%20%E2%80%93%20unwind%20and%20redirect", "ECR-2025-2173")</f>
        <v>ECR-2025-2173</v>
      </c>
      <c r="C237" s="59" t="s">
        <v>172</v>
      </c>
      <c r="D237" s="60">
        <v>7.3</v>
      </c>
      <c r="E237" s="60">
        <v>15.2</v>
      </c>
      <c r="F237" s="60">
        <v>16.399999999999999</v>
      </c>
      <c r="G237" s="60">
        <v>17.3</v>
      </c>
      <c r="H237" s="60">
        <v>18.100000000000001</v>
      </c>
      <c r="I237" s="60">
        <v>18.899999999999999</v>
      </c>
      <c r="J237" s="60">
        <v>19.8</v>
      </c>
      <c r="K237" s="60">
        <v>20.7</v>
      </c>
      <c r="L237" s="60">
        <v>21.6</v>
      </c>
      <c r="M237" s="60">
        <v>22.6</v>
      </c>
      <c r="N237" s="60">
        <v>23.9</v>
      </c>
      <c r="O237" s="60">
        <v>56.2</v>
      </c>
      <c r="P237" s="60">
        <v>201.8</v>
      </c>
      <c r="Q237" s="61"/>
      <c r="R237" s="61"/>
      <c r="S237" s="59" t="s">
        <v>261</v>
      </c>
      <c r="U237" s="53"/>
      <c r="V237" s="53"/>
      <c r="W237" s="53"/>
      <c r="X237" s="53"/>
      <c r="Y237" s="53"/>
      <c r="Z237" s="53"/>
      <c r="AA237" s="53"/>
      <c r="AB237" s="53"/>
      <c r="AC237" s="53"/>
      <c r="AD237" s="53"/>
      <c r="AE237" s="53"/>
      <c r="AF237" s="53"/>
      <c r="AG237" s="53"/>
    </row>
    <row r="238" spans="2:33" ht="15" customHeight="1" x14ac:dyDescent="0.25">
      <c r="B238" s="136" t="str">
        <f>HYPERLINK("https://www.pbo.gov.au/elections/2025-general-election/2025-election-commitments-costings/housing-australia-future-fund-unwind", "ECR-2025-2184")</f>
        <v>ECR-2025-2184</v>
      </c>
      <c r="C238" s="59" t="s">
        <v>168</v>
      </c>
      <c r="D238" s="60">
        <v>476</v>
      </c>
      <c r="E238" s="60">
        <v>504</v>
      </c>
      <c r="F238" s="60">
        <v>533</v>
      </c>
      <c r="G238" s="60">
        <v>563</v>
      </c>
      <c r="H238" s="60">
        <v>595</v>
      </c>
      <c r="I238" s="60">
        <v>629</v>
      </c>
      <c r="J238" s="60">
        <v>666</v>
      </c>
      <c r="K238" s="60">
        <v>705</v>
      </c>
      <c r="L238" s="60">
        <v>747</v>
      </c>
      <c r="M238" s="60">
        <v>791</v>
      </c>
      <c r="N238" s="60">
        <v>855</v>
      </c>
      <c r="O238" s="60">
        <v>2076</v>
      </c>
      <c r="P238" s="60">
        <v>7064</v>
      </c>
      <c r="Q238" s="61"/>
      <c r="R238" s="61"/>
      <c r="S238" s="59" t="s">
        <v>322</v>
      </c>
      <c r="U238" s="53"/>
      <c r="V238" s="53"/>
      <c r="W238" s="53"/>
      <c r="X238" s="53"/>
      <c r="Y238" s="53"/>
      <c r="Z238" s="53"/>
      <c r="AA238" s="53"/>
      <c r="AB238" s="53"/>
      <c r="AC238" s="53"/>
      <c r="AD238" s="53"/>
      <c r="AE238" s="53"/>
      <c r="AF238" s="53"/>
      <c r="AG238" s="53"/>
    </row>
    <row r="239" spans="2:33" ht="15" customHeight="1" x14ac:dyDescent="0.25">
      <c r="B239" s="136" t="str">
        <f>HYPERLINK("https://www.pbo.gov.au/elections/2025-general-election/2025-election-commitments-costings/help-buy-scheme-reverse", "ECR-2025-2213")</f>
        <v>ECR-2025-2213</v>
      </c>
      <c r="C239" s="59" t="s">
        <v>242</v>
      </c>
      <c r="D239" s="60">
        <v>29</v>
      </c>
      <c r="E239" s="60">
        <v>95</v>
      </c>
      <c r="F239" s="60">
        <v>169</v>
      </c>
      <c r="G239" s="60">
        <v>247</v>
      </c>
      <c r="H239" s="60">
        <v>299</v>
      </c>
      <c r="I239" s="60">
        <v>318</v>
      </c>
      <c r="J239" s="60">
        <v>333</v>
      </c>
      <c r="K239" s="60">
        <v>348</v>
      </c>
      <c r="L239" s="60">
        <v>359</v>
      </c>
      <c r="M239" s="60">
        <v>366</v>
      </c>
      <c r="N239" s="60">
        <v>374</v>
      </c>
      <c r="O239" s="60">
        <v>540</v>
      </c>
      <c r="P239" s="60">
        <v>2937</v>
      </c>
      <c r="Q239" s="61"/>
      <c r="R239" s="61"/>
      <c r="S239" s="59" t="s">
        <v>261</v>
      </c>
      <c r="U239" s="53"/>
      <c r="V239" s="53"/>
      <c r="W239" s="53"/>
      <c r="X239" s="53"/>
      <c r="Y239" s="53"/>
      <c r="Z239" s="53"/>
      <c r="AA239" s="53"/>
      <c r="AB239" s="53"/>
      <c r="AC239" s="53"/>
      <c r="AD239" s="53"/>
      <c r="AE239" s="53"/>
      <c r="AF239" s="53"/>
      <c r="AG239" s="53"/>
    </row>
    <row r="240" spans="2:33" ht="15" customHeight="1" x14ac:dyDescent="0.25">
      <c r="B240" s="136" t="str">
        <f>HYPERLINK("https://www.pbo.gov.au/elections/2025-general-election/2025-election-commitments-costings/student-help-changes-not-proceeding", "ECR-2025-2230")</f>
        <v>ECR-2025-2230</v>
      </c>
      <c r="C240" s="59" t="s">
        <v>162</v>
      </c>
      <c r="D240" s="60">
        <v>55</v>
      </c>
      <c r="E240" s="60">
        <v>107</v>
      </c>
      <c r="F240" s="60">
        <v>166</v>
      </c>
      <c r="G240" s="60">
        <v>233</v>
      </c>
      <c r="H240" s="60">
        <v>309</v>
      </c>
      <c r="I240" s="60">
        <v>393</v>
      </c>
      <c r="J240" s="60">
        <v>484</v>
      </c>
      <c r="K240" s="60">
        <v>579</v>
      </c>
      <c r="L240" s="60">
        <v>677</v>
      </c>
      <c r="M240" s="60">
        <v>779</v>
      </c>
      <c r="N240" s="60">
        <v>886</v>
      </c>
      <c r="O240" s="60">
        <v>576.5</v>
      </c>
      <c r="P240" s="60">
        <v>4683.5</v>
      </c>
      <c r="Q240" s="61"/>
      <c r="R240" s="61"/>
      <c r="S240" s="59" t="s">
        <v>308</v>
      </c>
      <c r="U240" s="53"/>
      <c r="V240" s="53"/>
      <c r="W240" s="53"/>
      <c r="X240" s="53"/>
      <c r="Y240" s="53"/>
      <c r="Z240" s="53"/>
      <c r="AA240" s="53"/>
      <c r="AB240" s="53"/>
      <c r="AC240" s="53"/>
      <c r="AD240" s="53"/>
      <c r="AE240" s="53"/>
      <c r="AF240" s="53"/>
      <c r="AG240" s="53"/>
    </row>
    <row r="241" spans="2:33" ht="15" customHeight="1" x14ac:dyDescent="0.25">
      <c r="B241" s="136" t="str">
        <f>HYPERLINK("https://www.pbo.gov.au/elections/2025-general-election/2025-election-commitments-costings/national-reconstruction-fund-and-national-reconstruction-fund-corporation-unwind-and-close", "ECR-2025-2247")</f>
        <v>ECR-2025-2247</v>
      </c>
      <c r="C241" s="59" t="s">
        <v>247</v>
      </c>
      <c r="D241" s="60">
        <v>43</v>
      </c>
      <c r="E241" s="60">
        <v>139</v>
      </c>
      <c r="F241" s="60">
        <v>259</v>
      </c>
      <c r="G241" s="60">
        <v>408</v>
      </c>
      <c r="H241" s="60">
        <v>555</v>
      </c>
      <c r="I241" s="60">
        <v>622</v>
      </c>
      <c r="J241" s="60">
        <v>625</v>
      </c>
      <c r="K241" s="60">
        <v>629</v>
      </c>
      <c r="L241" s="60">
        <v>633</v>
      </c>
      <c r="M241" s="60">
        <v>638</v>
      </c>
      <c r="N241" s="60">
        <v>644</v>
      </c>
      <c r="O241" s="60">
        <v>849</v>
      </c>
      <c r="P241" s="60">
        <v>5195</v>
      </c>
      <c r="Q241" s="61"/>
      <c r="R241" s="61"/>
      <c r="S241" s="59" t="s">
        <v>261</v>
      </c>
      <c r="U241" s="53"/>
      <c r="V241" s="53"/>
      <c r="W241" s="53"/>
      <c r="X241" s="53"/>
      <c r="Y241" s="53"/>
      <c r="Z241" s="53"/>
      <c r="AA241" s="53"/>
      <c r="AB241" s="53"/>
      <c r="AC241" s="53"/>
      <c r="AD241" s="53"/>
      <c r="AE241" s="53"/>
      <c r="AF241" s="53"/>
      <c r="AG241" s="53"/>
    </row>
    <row r="242" spans="2:33" ht="15" customHeight="1" x14ac:dyDescent="0.25">
      <c r="B242" s="136" t="str">
        <f>HYPERLINK("https://www.pbo.gov.au/elections/2025-general-election/2025-election-commitments-costings/Deliver%20a%20National%20Gas%20Plan%20%E2%80%93%20%241%20billion%20Critical%20Gas%20Infrastructure%20Fund", "ECR-2025-2455")</f>
        <v>ECR-2025-2455</v>
      </c>
      <c r="C242" s="59" t="s">
        <v>243</v>
      </c>
      <c r="D242" s="60">
        <v>-2.1</v>
      </c>
      <c r="E242" s="60">
        <v>-6.4</v>
      </c>
      <c r="F242" s="60">
        <v>-10.6</v>
      </c>
      <c r="G242" s="60">
        <v>-14.7</v>
      </c>
      <c r="H242" s="60">
        <v>-18.8</v>
      </c>
      <c r="I242" s="60">
        <v>-20.6</v>
      </c>
      <c r="J242" s="60">
        <v>-20.100000000000001</v>
      </c>
      <c r="K242" s="60">
        <v>-19.600000000000001</v>
      </c>
      <c r="L242" s="60">
        <v>-19</v>
      </c>
      <c r="M242" s="60">
        <v>-18.3</v>
      </c>
      <c r="N242" s="60">
        <v>-17.5</v>
      </c>
      <c r="O242" s="60">
        <v>-33.799999999999997</v>
      </c>
      <c r="P242" s="60">
        <v>-167.7</v>
      </c>
      <c r="Q242" s="61"/>
      <c r="R242" s="61"/>
      <c r="S242" s="59" t="s">
        <v>296</v>
      </c>
      <c r="U242" s="53"/>
      <c r="V242" s="53"/>
      <c r="W242" s="53"/>
      <c r="X242" s="53"/>
      <c r="Y242" s="53"/>
      <c r="Z242" s="53"/>
      <c r="AA242" s="53"/>
      <c r="AB242" s="53"/>
      <c r="AC242" s="53"/>
      <c r="AD242" s="53"/>
      <c r="AE242" s="53"/>
      <c r="AF242" s="53"/>
      <c r="AG242" s="53"/>
    </row>
    <row r="243" spans="2:33" ht="15" customHeight="1" x14ac:dyDescent="0.25">
      <c r="B243" s="136" t="str">
        <f>HYPERLINK("https://www.pbo.gov.au/elections/2025-general-election/2025-election-commitments-costings/Modify%20Commonwealth%20Prac%20Payments", "ECR-2025-2599")</f>
        <v>ECR-2025-2599</v>
      </c>
      <c r="C243" s="59" t="s">
        <v>364</v>
      </c>
      <c r="D243" s="60" t="s">
        <v>12</v>
      </c>
      <c r="E243" s="60">
        <v>0.1</v>
      </c>
      <c r="F243" s="60">
        <v>0.2</v>
      </c>
      <c r="G243" s="60">
        <v>0.3</v>
      </c>
      <c r="H243" s="60">
        <v>0.4</v>
      </c>
      <c r="I243" s="60">
        <v>0.6</v>
      </c>
      <c r="J243" s="60">
        <v>0.7</v>
      </c>
      <c r="K243" s="60">
        <v>0.9</v>
      </c>
      <c r="L243" s="60">
        <v>1</v>
      </c>
      <c r="M243" s="60">
        <v>1.2</v>
      </c>
      <c r="N243" s="60">
        <v>1.4</v>
      </c>
      <c r="O243" s="60">
        <v>0.6</v>
      </c>
      <c r="P243" s="60">
        <v>6.8</v>
      </c>
      <c r="Q243" s="61"/>
      <c r="R243" s="61"/>
      <c r="S243" s="59" t="s">
        <v>261</v>
      </c>
      <c r="U243" s="53"/>
      <c r="V243" s="53"/>
      <c r="W243" s="53"/>
      <c r="X243" s="53"/>
      <c r="Y243" s="53"/>
      <c r="Z243" s="53"/>
      <c r="AA243" s="53"/>
      <c r="AB243" s="53"/>
      <c r="AC243" s="53"/>
      <c r="AD243" s="53"/>
      <c r="AE243" s="53"/>
      <c r="AF243" s="53"/>
      <c r="AG243" s="53"/>
    </row>
    <row r="244" spans="2:33" ht="15" customHeight="1" x14ac:dyDescent="0.25">
      <c r="B244" s="136" t="str">
        <f>HYPERLINK("https://www.pbo.gov.au/elections/2025-general-election/2025-election-commitments-costings/Future%20Generations%20Fund%20and%20Regional%20Australia%20Future%20Fund", "ECR-2025-2651")</f>
        <v>ECR-2025-2651</v>
      </c>
      <c r="C244" s="59" t="s">
        <v>251</v>
      </c>
      <c r="D244" s="60">
        <v>0</v>
      </c>
      <c r="E244" s="60">
        <v>-214</v>
      </c>
      <c r="F244" s="60">
        <v>-216</v>
      </c>
      <c r="G244" s="60">
        <v>-217</v>
      </c>
      <c r="H244" s="60">
        <v>-218</v>
      </c>
      <c r="I244" s="60">
        <v>-219</v>
      </c>
      <c r="J244" s="60">
        <v>-219</v>
      </c>
      <c r="K244" s="60">
        <v>-218</v>
      </c>
      <c r="L244" s="60">
        <v>-217</v>
      </c>
      <c r="M244" s="60">
        <v>-215</v>
      </c>
      <c r="N244" s="60">
        <v>-212</v>
      </c>
      <c r="O244" s="60">
        <v>-647</v>
      </c>
      <c r="P244" s="60">
        <v>-2165</v>
      </c>
      <c r="Q244" s="61"/>
      <c r="R244" s="61"/>
      <c r="S244" s="59" t="s">
        <v>313</v>
      </c>
      <c r="U244" s="53"/>
      <c r="V244" s="53"/>
      <c r="W244" s="53"/>
      <c r="X244" s="53"/>
      <c r="Y244" s="53"/>
      <c r="Z244" s="53"/>
      <c r="AA244" s="53"/>
      <c r="AB244" s="53"/>
      <c r="AC244" s="53"/>
      <c r="AD244" s="53"/>
      <c r="AE244" s="53"/>
      <c r="AF244" s="53"/>
      <c r="AG244" s="53"/>
    </row>
    <row r="245" spans="2:33" ht="15" customHeight="1" x14ac:dyDescent="0.25">
      <c r="B245" s="136" t="str">
        <f>HYPERLINK("https://www.pbo.gov.au/elections/2025-general-election/2025-election-commitments-costings/startup-year-loan-scheme-reprioritise", "ECR-2025-2763")</f>
        <v>ECR-2025-2763</v>
      </c>
      <c r="C245" s="59" t="s">
        <v>196</v>
      </c>
      <c r="D245" s="60">
        <v>0.6</v>
      </c>
      <c r="E245" s="60">
        <v>1.7</v>
      </c>
      <c r="F245" s="60">
        <v>3</v>
      </c>
      <c r="G245" s="60">
        <v>4.3</v>
      </c>
      <c r="H245" s="60">
        <v>5.6</v>
      </c>
      <c r="I245" s="60">
        <v>7</v>
      </c>
      <c r="J245" s="60">
        <v>8.4</v>
      </c>
      <c r="K245" s="60">
        <v>9.8000000000000007</v>
      </c>
      <c r="L245" s="60">
        <v>11.3</v>
      </c>
      <c r="M245" s="60">
        <v>12.9</v>
      </c>
      <c r="N245" s="60">
        <v>14.4</v>
      </c>
      <c r="O245" s="60">
        <v>9.6</v>
      </c>
      <c r="P245" s="60">
        <v>79</v>
      </c>
      <c r="Q245" s="61"/>
      <c r="R245" s="61"/>
      <c r="S245" s="59" t="s">
        <v>261</v>
      </c>
      <c r="U245" s="53"/>
      <c r="V245" s="53"/>
      <c r="W245" s="53"/>
      <c r="X245" s="53"/>
      <c r="Y245" s="53"/>
      <c r="Z245" s="53"/>
      <c r="AA245" s="53"/>
      <c r="AB245" s="53"/>
      <c r="AC245" s="53"/>
      <c r="AD245" s="53"/>
      <c r="AE245" s="53"/>
      <c r="AF245" s="53"/>
      <c r="AG245" s="53"/>
    </row>
    <row r="246" spans="2:33" ht="15" customHeight="1" x14ac:dyDescent="0.25">
      <c r="B246" s="136" t="str">
        <f>HYPERLINK("https://www.pbo.gov.au/elections/2025-general-election/2025-election-commitments-costings/reinstate-50-pass-mark-required-hecs-help-loans", "ECR-2025-2764")</f>
        <v>ECR-2025-2764</v>
      </c>
      <c r="C246" s="59" t="s">
        <v>222</v>
      </c>
      <c r="D246" s="60">
        <v>0.5</v>
      </c>
      <c r="E246" s="60">
        <v>1.9</v>
      </c>
      <c r="F246" s="60">
        <v>4</v>
      </c>
      <c r="G246" s="60">
        <v>6.2</v>
      </c>
      <c r="H246" s="60">
        <v>8.5</v>
      </c>
      <c r="I246" s="60">
        <v>11</v>
      </c>
      <c r="J246" s="60">
        <v>13.6</v>
      </c>
      <c r="K246" s="60">
        <v>16.399999999999999</v>
      </c>
      <c r="L246" s="60">
        <v>19.3</v>
      </c>
      <c r="M246" s="60">
        <v>22.3</v>
      </c>
      <c r="N246" s="60">
        <v>25.5</v>
      </c>
      <c r="O246" s="60">
        <v>12.6</v>
      </c>
      <c r="P246" s="60">
        <v>129.19999999999999</v>
      </c>
      <c r="Q246" s="61"/>
      <c r="R246" s="61"/>
      <c r="S246" s="59" t="s">
        <v>292</v>
      </c>
      <c r="U246" s="53"/>
      <c r="V246" s="53"/>
      <c r="W246" s="53"/>
      <c r="X246" s="53"/>
      <c r="Y246" s="53"/>
      <c r="Z246" s="53"/>
      <c r="AA246" s="53"/>
      <c r="AB246" s="53"/>
      <c r="AC246" s="53"/>
      <c r="AD246" s="53"/>
      <c r="AE246" s="53"/>
      <c r="AF246" s="53"/>
      <c r="AG246" s="53"/>
    </row>
    <row r="247" spans="2:33" ht="15" customHeight="1" x14ac:dyDescent="0.25">
      <c r="B247" s="136" t="str">
        <f>HYPERLINK("https://www.pbo.gov.au/elections/2025-general-election/2025-election-commitments-costings/housing-infrastructure-program", "ECR-2025-2862")</f>
        <v>ECR-2025-2862</v>
      </c>
      <c r="C247" s="59" t="s">
        <v>212</v>
      </c>
      <c r="D247" s="60">
        <v>-12</v>
      </c>
      <c r="E247" s="60">
        <v>-48</v>
      </c>
      <c r="F247" s="60">
        <v>-92</v>
      </c>
      <c r="G247" s="60">
        <v>-134</v>
      </c>
      <c r="H247" s="60">
        <v>-162</v>
      </c>
      <c r="I247" s="60">
        <v>-167</v>
      </c>
      <c r="J247" s="60">
        <v>-164</v>
      </c>
      <c r="K247" s="60">
        <v>-165</v>
      </c>
      <c r="L247" s="60">
        <v>-168</v>
      </c>
      <c r="M247" s="60">
        <v>-171</v>
      </c>
      <c r="N247" s="60">
        <v>-176</v>
      </c>
      <c r="O247" s="60">
        <v>-286</v>
      </c>
      <c r="P247" s="60">
        <v>-1459</v>
      </c>
      <c r="Q247" s="61"/>
      <c r="R247" s="61"/>
      <c r="S247" s="59" t="s">
        <v>323</v>
      </c>
      <c r="U247" s="53"/>
      <c r="V247" s="53"/>
      <c r="W247" s="53"/>
      <c r="X247" s="53"/>
      <c r="Y247" s="53"/>
      <c r="Z247" s="53"/>
      <c r="AA247" s="53"/>
      <c r="AB247" s="53"/>
      <c r="AC247" s="53"/>
      <c r="AD247" s="53"/>
      <c r="AE247" s="53"/>
      <c r="AF247" s="53"/>
      <c r="AG247" s="53"/>
    </row>
    <row r="248" spans="2:33" ht="15" customHeight="1" x14ac:dyDescent="0.25">
      <c r="B248" s="136" t="str">
        <f>HYPERLINK("https://www.pbo.gov.au/elections/2025-general-election/2025-election-commitments-costings/High-quality-Graduate-Diplomas-of-Education", "ECR-2025-2868")</f>
        <v>ECR-2025-2868</v>
      </c>
      <c r="C248" s="59" t="s">
        <v>447</v>
      </c>
      <c r="D248" s="60">
        <v>0</v>
      </c>
      <c r="E248" s="60">
        <v>1.1000000000000001</v>
      </c>
      <c r="F248" s="60">
        <v>4.3</v>
      </c>
      <c r="G248" s="60">
        <v>8.9</v>
      </c>
      <c r="H248" s="60">
        <v>13.9</v>
      </c>
      <c r="I248" s="60">
        <v>19.3</v>
      </c>
      <c r="J248" s="60">
        <v>25.1</v>
      </c>
      <c r="K248" s="60">
        <v>31.4</v>
      </c>
      <c r="L248" s="60">
        <v>38.200000000000003</v>
      </c>
      <c r="M248" s="60">
        <v>45.6</v>
      </c>
      <c r="N248" s="60">
        <v>53.6</v>
      </c>
      <c r="O248" s="60">
        <v>14.3</v>
      </c>
      <c r="P248" s="60">
        <v>241.4</v>
      </c>
      <c r="Q248" s="61"/>
      <c r="R248" s="61"/>
      <c r="S248" s="59" t="s">
        <v>333</v>
      </c>
      <c r="U248" s="53"/>
      <c r="V248" s="53"/>
      <c r="W248" s="53"/>
      <c r="X248" s="53"/>
      <c r="Y248" s="53"/>
      <c r="Z248" s="53"/>
      <c r="AA248" s="53"/>
      <c r="AB248" s="53"/>
      <c r="AC248" s="53"/>
      <c r="AD248" s="53"/>
      <c r="AE248" s="53"/>
      <c r="AF248" s="53"/>
      <c r="AG248" s="53"/>
    </row>
    <row r="249" spans="2:33" ht="15" customHeight="1" x14ac:dyDescent="0.25">
      <c r="B249" s="136" t="str">
        <f>HYPERLINK("https://www.pbo.gov.au/elections/2025-general-election/2025-election-commitments-costings/investing-regional-health-education-infrastructure-and-workforce", "ECR-2025-2888")</f>
        <v>ECR-2025-2888</v>
      </c>
      <c r="C249" s="59" t="s">
        <v>215</v>
      </c>
      <c r="D249" s="60">
        <v>-0.8</v>
      </c>
      <c r="E249" s="60">
        <v>-2.6</v>
      </c>
      <c r="F249" s="60">
        <v>-4.5</v>
      </c>
      <c r="G249" s="60">
        <v>-5.9</v>
      </c>
      <c r="H249" s="60">
        <v>-6.6</v>
      </c>
      <c r="I249" s="60">
        <v>-7.2</v>
      </c>
      <c r="J249" s="60">
        <v>-7.8</v>
      </c>
      <c r="K249" s="60">
        <v>-8.1999999999999993</v>
      </c>
      <c r="L249" s="60">
        <v>-8.5</v>
      </c>
      <c r="M249" s="60">
        <v>-8.9</v>
      </c>
      <c r="N249" s="60">
        <v>-9.3000000000000007</v>
      </c>
      <c r="O249" s="60">
        <v>-13.8</v>
      </c>
      <c r="P249" s="60">
        <v>-70.3</v>
      </c>
      <c r="Q249" s="61"/>
      <c r="R249" s="61"/>
      <c r="S249" s="59" t="s">
        <v>335</v>
      </c>
      <c r="U249" s="53"/>
      <c r="V249" s="53"/>
      <c r="W249" s="53"/>
      <c r="X249" s="53"/>
      <c r="Y249" s="53"/>
      <c r="Z249" s="53"/>
      <c r="AA249" s="53"/>
      <c r="AB249" s="53"/>
      <c r="AC249" s="53"/>
      <c r="AD249" s="53"/>
      <c r="AE249" s="53"/>
      <c r="AF249" s="53"/>
      <c r="AG249" s="53"/>
    </row>
    <row r="250" spans="2:33" ht="15" customHeight="1" x14ac:dyDescent="0.25">
      <c r="B250" s="3" t="s">
        <v>20</v>
      </c>
      <c r="C250" s="3"/>
      <c r="D250" s="55">
        <v>-131.1</v>
      </c>
      <c r="E250" s="55">
        <v>-373</v>
      </c>
      <c r="F250" s="55">
        <v>-361.6</v>
      </c>
      <c r="G250" s="55">
        <v>-14</v>
      </c>
      <c r="H250" s="55">
        <v>453.8</v>
      </c>
      <c r="I250" s="55">
        <v>907.1</v>
      </c>
      <c r="J250" s="55">
        <v>1145.2</v>
      </c>
      <c r="K250" s="55">
        <v>1190.7</v>
      </c>
      <c r="L250" s="55">
        <v>1029.5999999999999</v>
      </c>
      <c r="M250" s="55">
        <v>587.1</v>
      </c>
      <c r="N250" s="55">
        <v>-47.5</v>
      </c>
      <c r="O250" s="55">
        <v>-879.6</v>
      </c>
      <c r="P250" s="55">
        <v>4386.3999999999996</v>
      </c>
      <c r="Q250" s="5" t="s">
        <v>14</v>
      </c>
      <c r="R250" s="4"/>
      <c r="S250" s="3"/>
      <c r="U250" s="53"/>
      <c r="V250" s="53"/>
      <c r="W250" s="53"/>
      <c r="X250" s="53"/>
      <c r="Y250" s="53"/>
      <c r="Z250" s="53"/>
      <c r="AA250" s="53"/>
      <c r="AB250" s="53"/>
      <c r="AC250" s="53"/>
      <c r="AD250" s="53"/>
      <c r="AE250" s="53"/>
      <c r="AF250" s="53"/>
      <c r="AG250" s="53"/>
    </row>
    <row r="251" spans="2:33" ht="15" customHeight="1" x14ac:dyDescent="0.25">
      <c r="B251" s="6" t="s">
        <v>608</v>
      </c>
      <c r="C251" s="6"/>
      <c r="D251" s="56">
        <v>1145.4000000000001</v>
      </c>
      <c r="E251" s="56">
        <v>896</v>
      </c>
      <c r="F251" s="56">
        <v>1130.2</v>
      </c>
      <c r="G251" s="56">
        <v>1727.4</v>
      </c>
      <c r="H251" s="56">
        <v>2399.6999999999998</v>
      </c>
      <c r="I251" s="56">
        <v>2915.6</v>
      </c>
      <c r="J251" s="56">
        <v>3111.6</v>
      </c>
      <c r="K251" s="56">
        <v>3061.4</v>
      </c>
      <c r="L251" s="56">
        <v>2755.8</v>
      </c>
      <c r="M251" s="56">
        <v>2104.1999999999998</v>
      </c>
      <c r="N251" s="56">
        <v>1201.0999999999999</v>
      </c>
      <c r="O251" s="56">
        <v>4914.6000000000004</v>
      </c>
      <c r="P251" s="56">
        <v>22464</v>
      </c>
      <c r="Q251" s="7" t="s">
        <v>21</v>
      </c>
      <c r="R251" s="7" t="s">
        <v>22</v>
      </c>
      <c r="S251" s="6"/>
      <c r="U251" s="53"/>
      <c r="V251" s="53"/>
      <c r="W251" s="53"/>
      <c r="X251" s="53"/>
      <c r="Y251" s="53"/>
      <c r="Z251" s="53"/>
      <c r="AA251" s="53"/>
      <c r="AB251" s="53"/>
      <c r="AC251" s="53"/>
      <c r="AD251" s="53"/>
      <c r="AE251" s="53"/>
      <c r="AF251" s="53"/>
      <c r="AG251" s="53"/>
    </row>
    <row r="252" spans="2:33" ht="15" customHeight="1" x14ac:dyDescent="0.25"/>
    <row r="253" spans="2:33" ht="15" customHeight="1" x14ac:dyDescent="0.25">
      <c r="B253" s="14" t="s">
        <v>23</v>
      </c>
      <c r="Q253" s="69"/>
      <c r="R253" s="70"/>
    </row>
    <row r="254" spans="2:33" ht="15" customHeight="1" x14ac:dyDescent="0.25">
      <c r="B254" s="10" t="s">
        <v>24</v>
      </c>
      <c r="Q254" s="69"/>
      <c r="R254" s="70"/>
    </row>
    <row r="255" spans="2:33" ht="15" customHeight="1" x14ac:dyDescent="0.25">
      <c r="B255" s="10" t="s">
        <v>25</v>
      </c>
      <c r="Q255" s="69"/>
      <c r="R255" s="70"/>
    </row>
    <row r="256" spans="2:33" ht="15" customHeight="1" x14ac:dyDescent="0.25">
      <c r="B256" s="10" t="s">
        <v>26</v>
      </c>
      <c r="Q256" s="69"/>
      <c r="R256" s="70"/>
    </row>
    <row r="257" spans="2:19" ht="15" customHeight="1" x14ac:dyDescent="0.25">
      <c r="B257" s="10" t="s">
        <v>27</v>
      </c>
      <c r="Q257" s="69"/>
      <c r="R257" s="70"/>
    </row>
    <row r="258" spans="2:19" ht="15" customHeight="1" x14ac:dyDescent="0.25">
      <c r="B258" s="10" t="s">
        <v>28</v>
      </c>
      <c r="C258" s="72"/>
      <c r="D258" s="73"/>
      <c r="E258" s="73"/>
      <c r="F258" s="73"/>
      <c r="G258" s="73"/>
      <c r="H258" s="73"/>
      <c r="I258" s="73"/>
      <c r="J258" s="73"/>
      <c r="K258" s="73"/>
      <c r="L258" s="73"/>
      <c r="M258" s="73"/>
      <c r="N258" s="73"/>
      <c r="O258" s="73"/>
      <c r="P258" s="73"/>
      <c r="Q258" s="74"/>
      <c r="R258" s="75"/>
      <c r="S258" s="72"/>
    </row>
    <row r="259" spans="2:19" ht="15" customHeight="1" x14ac:dyDescent="0.25">
      <c r="B259" s="71" t="s">
        <v>29</v>
      </c>
      <c r="Q259" s="69"/>
      <c r="R259" s="70"/>
    </row>
    <row r="260" spans="2:19" ht="15" customHeight="1" x14ac:dyDescent="0.25">
      <c r="B260" s="10" t="s">
        <v>390</v>
      </c>
      <c r="Q260" s="69"/>
      <c r="R260" s="70"/>
    </row>
    <row r="261" spans="2:19" ht="15" customHeight="1" x14ac:dyDescent="0.25">
      <c r="B261" s="10" t="s">
        <v>451</v>
      </c>
      <c r="Q261" s="69"/>
      <c r="R261" s="70"/>
    </row>
    <row r="262" spans="2:19" ht="15" customHeight="1" x14ac:dyDescent="0.25">
      <c r="B262" s="10" t="s">
        <v>454</v>
      </c>
      <c r="Q262" s="69"/>
      <c r="R262" s="70"/>
    </row>
    <row r="263" spans="2:19" ht="15" customHeight="1" x14ac:dyDescent="0.25">
      <c r="B263" s="10" t="s">
        <v>611</v>
      </c>
      <c r="Q263" s="69"/>
      <c r="R263" s="70"/>
    </row>
    <row r="264" spans="2:19" ht="15" customHeight="1" x14ac:dyDescent="0.25">
      <c r="B264" s="10" t="s">
        <v>612</v>
      </c>
      <c r="Q264" s="69"/>
      <c r="R264" s="70"/>
    </row>
    <row r="265" spans="2:19" ht="15" customHeight="1" x14ac:dyDescent="0.25">
      <c r="B265" s="10"/>
      <c r="Q265" s="69"/>
      <c r="R265" s="70"/>
    </row>
    <row r="266" spans="2:19" x14ac:dyDescent="0.25">
      <c r="B266" s="15" t="s">
        <v>30</v>
      </c>
      <c r="Q266" s="69"/>
      <c r="R266" s="70"/>
    </row>
    <row r="267" spans="2:19" x14ac:dyDescent="0.25">
      <c r="Q267" s="69"/>
      <c r="R267" s="70"/>
    </row>
    <row r="268" spans="2:19" x14ac:dyDescent="0.25">
      <c r="Q268" s="69"/>
      <c r="R268" s="70"/>
    </row>
  </sheetData>
  <mergeCells count="1">
    <mergeCell ref="B1:F1"/>
  </mergeCells>
  <conditionalFormatting sqref="B4 B66 B76 B111 B167 B212">
    <cfRule type="expression" dxfId="1" priority="1">
      <formula>LEFT($E4,3)="ECR"</formula>
    </cfRule>
  </conditionalFormatting>
  <hyperlinks>
    <hyperlink ref="B266" location="Contents!A1" display="Back to contents" xr:uid="{3390D00C-C27B-48D5-93B4-165F7CEE2C4F}"/>
    <hyperlink ref="B67" r:id="rId1" xr:uid="{7C130CC3-5663-44F1-9DDE-9EF0E03465B6}"/>
    <hyperlink ref="B234" r:id="rId2" xr:uid="{2CC0637C-7B31-45AB-87B2-31D5F8F36B92}"/>
  </hyperlinks>
  <pageMargins left="0.25" right="0.25"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97E7-F333-4363-85CB-3635D3B0251F}">
  <sheetPr>
    <tabColor theme="0" tint="-4.9989318521683403E-2"/>
  </sheetPr>
  <dimension ref="A1:AK268"/>
  <sheetViews>
    <sheetView showGridLines="0" zoomScaleNormal="100" workbookViewId="0">
      <pane ySplit="3" topLeftCell="A4" activePane="bottomLeft" state="frozen"/>
      <selection pane="bottomLeft"/>
    </sheetView>
  </sheetViews>
  <sheetFormatPr defaultColWidth="8.85546875" defaultRowHeight="12" x14ac:dyDescent="0.25"/>
  <cols>
    <col min="1" max="1" width="3.7109375" style="8" customWidth="1"/>
    <col min="2" max="2" width="13.85546875" style="8" customWidth="1"/>
    <col min="3" max="3" width="120.28515625" style="8" bestFit="1" customWidth="1"/>
    <col min="4" max="16" width="8" style="53" customWidth="1"/>
    <col min="17" max="17" width="10.7109375" style="9" customWidth="1"/>
    <col min="18" max="18" width="10.7109375" style="17" customWidth="1"/>
    <col min="19" max="19" width="152.7109375" style="8" bestFit="1" customWidth="1"/>
    <col min="20" max="16384" width="8.85546875" style="11"/>
  </cols>
  <sheetData>
    <row r="1" spans="1:33" x14ac:dyDescent="0.25">
      <c r="B1" s="139"/>
      <c r="C1" s="139"/>
      <c r="D1" s="139"/>
      <c r="E1" s="139"/>
      <c r="F1" s="139"/>
    </row>
    <row r="2" spans="1:33" ht="24.95" customHeight="1" x14ac:dyDescent="0.25">
      <c r="B2" s="18" t="s">
        <v>385</v>
      </c>
    </row>
    <row r="3" spans="1:33" s="13" customFormat="1" ht="24.95" customHeight="1" x14ac:dyDescent="0.25">
      <c r="A3" s="12"/>
      <c r="B3" s="1" t="s">
        <v>4</v>
      </c>
      <c r="C3" s="1" t="s">
        <v>5</v>
      </c>
      <c r="D3" s="54" t="s">
        <v>471</v>
      </c>
      <c r="E3" s="54" t="s">
        <v>618</v>
      </c>
      <c r="F3" s="54" t="s">
        <v>619</v>
      </c>
      <c r="G3" s="54" t="s">
        <v>620</v>
      </c>
      <c r="H3" s="54" t="s">
        <v>621</v>
      </c>
      <c r="I3" s="54" t="s">
        <v>622</v>
      </c>
      <c r="J3" s="54" t="s">
        <v>623</v>
      </c>
      <c r="K3" s="54" t="s">
        <v>624</v>
      </c>
      <c r="L3" s="54" t="s">
        <v>625</v>
      </c>
      <c r="M3" s="54" t="s">
        <v>626</v>
      </c>
      <c r="N3" s="54" t="s">
        <v>627</v>
      </c>
      <c r="O3" s="54" t="s">
        <v>628</v>
      </c>
      <c r="P3" s="138" t="s">
        <v>629</v>
      </c>
      <c r="Q3" s="2" t="s">
        <v>6</v>
      </c>
      <c r="R3" s="2" t="s">
        <v>7</v>
      </c>
      <c r="S3" s="1" t="s">
        <v>8</v>
      </c>
    </row>
    <row r="4" spans="1:33" ht="15" customHeight="1" x14ac:dyDescent="0.25">
      <c r="B4" s="81" t="s">
        <v>97</v>
      </c>
      <c r="C4" s="3"/>
      <c r="D4" s="55" t="s">
        <v>10</v>
      </c>
      <c r="E4" s="55" t="s">
        <v>10</v>
      </c>
      <c r="F4" s="55" t="s">
        <v>10</v>
      </c>
      <c r="G4" s="55" t="s">
        <v>10</v>
      </c>
      <c r="H4" s="55" t="s">
        <v>10</v>
      </c>
      <c r="I4" s="55" t="s">
        <v>10</v>
      </c>
      <c r="J4" s="55" t="s">
        <v>10</v>
      </c>
      <c r="K4" s="55" t="s">
        <v>10</v>
      </c>
      <c r="L4" s="55" t="s">
        <v>10</v>
      </c>
      <c r="M4" s="55" t="s">
        <v>10</v>
      </c>
      <c r="N4" s="55" t="s">
        <v>10</v>
      </c>
      <c r="O4" s="55" t="s">
        <v>10</v>
      </c>
      <c r="P4" s="55" t="s">
        <v>10</v>
      </c>
      <c r="Q4" s="4"/>
      <c r="R4" s="4"/>
      <c r="S4" s="3" t="s">
        <v>10</v>
      </c>
      <c r="U4" s="53"/>
      <c r="V4" s="53"/>
      <c r="W4" s="53"/>
      <c r="X4" s="53"/>
      <c r="Y4" s="53"/>
      <c r="Z4" s="53"/>
      <c r="AA4" s="53"/>
      <c r="AB4" s="53"/>
      <c r="AC4" s="53"/>
      <c r="AD4" s="53"/>
      <c r="AE4" s="53"/>
      <c r="AF4" s="53"/>
      <c r="AG4" s="53"/>
    </row>
    <row r="5" spans="1:33" ht="15" customHeight="1" x14ac:dyDescent="0.25">
      <c r="B5" s="135" t="str">
        <f>HYPERLINK("https://www.pbo.gov.au/elections/2025-general-election/2025-election-commitments-costings/Abolish-family-car-and-ute-tax", "ECR-2025-2551")</f>
        <v>ECR-2025-2551</v>
      </c>
      <c r="C5" s="59" t="s">
        <v>229</v>
      </c>
      <c r="D5" s="60">
        <v>25.2</v>
      </c>
      <c r="E5" s="60">
        <v>90.2</v>
      </c>
      <c r="F5" s="60">
        <v>236.2</v>
      </c>
      <c r="G5" s="60">
        <v>248.3</v>
      </c>
      <c r="H5" s="60">
        <v>259.39999999999998</v>
      </c>
      <c r="I5" s="60">
        <v>276.39999999999998</v>
      </c>
      <c r="J5" s="60">
        <v>282.5</v>
      </c>
      <c r="K5" s="60">
        <v>294.60000000000002</v>
      </c>
      <c r="L5" s="60">
        <v>306.7</v>
      </c>
      <c r="M5" s="60">
        <v>319.7</v>
      </c>
      <c r="N5" s="60">
        <v>332.8</v>
      </c>
      <c r="O5" s="60">
        <v>599.9</v>
      </c>
      <c r="P5" s="60">
        <v>2672</v>
      </c>
      <c r="Q5" s="64"/>
      <c r="R5" s="64"/>
      <c r="S5" s="59" t="s">
        <v>288</v>
      </c>
      <c r="U5" s="53"/>
      <c r="V5" s="53"/>
      <c r="W5" s="53"/>
      <c r="X5" s="53"/>
      <c r="Y5" s="53"/>
      <c r="Z5" s="53"/>
      <c r="AA5" s="53"/>
      <c r="AB5" s="53"/>
      <c r="AC5" s="53"/>
      <c r="AD5" s="53"/>
      <c r="AE5" s="53"/>
      <c r="AF5" s="53"/>
      <c r="AG5" s="53"/>
    </row>
    <row r="6" spans="1:33" ht="15" customHeight="1" x14ac:dyDescent="0.25">
      <c r="B6" s="59" t="s">
        <v>110</v>
      </c>
      <c r="C6" s="59" t="s">
        <v>391</v>
      </c>
      <c r="D6" s="60">
        <v>0</v>
      </c>
      <c r="E6" s="60">
        <v>0</v>
      </c>
      <c r="F6" s="60">
        <v>0</v>
      </c>
      <c r="G6" s="60">
        <v>0</v>
      </c>
      <c r="H6" s="60">
        <v>0</v>
      </c>
      <c r="I6" s="60">
        <v>0</v>
      </c>
      <c r="J6" s="60">
        <v>0</v>
      </c>
      <c r="K6" s="60">
        <v>0</v>
      </c>
      <c r="L6" s="60">
        <v>0</v>
      </c>
      <c r="M6" s="60">
        <v>0</v>
      </c>
      <c r="N6" s="60">
        <v>0</v>
      </c>
      <c r="O6" s="60">
        <v>0</v>
      </c>
      <c r="P6" s="60">
        <v>0</v>
      </c>
      <c r="Q6" s="64"/>
      <c r="R6" s="64"/>
      <c r="S6" s="59" t="s">
        <v>289</v>
      </c>
      <c r="U6" s="53"/>
      <c r="V6" s="53"/>
      <c r="W6" s="53"/>
      <c r="X6" s="53"/>
      <c r="Y6" s="53"/>
      <c r="Z6" s="53"/>
      <c r="AA6" s="53"/>
      <c r="AB6" s="53"/>
      <c r="AC6" s="53"/>
      <c r="AD6" s="53"/>
      <c r="AE6" s="53"/>
      <c r="AF6" s="53"/>
      <c r="AG6" s="53"/>
    </row>
    <row r="7" spans="1:33" ht="15" customHeight="1" x14ac:dyDescent="0.25">
      <c r="B7" s="135" t="str">
        <f>HYPERLINK("https://www.pbo.gov.au/elections/2025-general-election/2025-election-commitments-costings/adjust-fuel-excise-25c-litre-reduction", "ECR-2025-2457")</f>
        <v>ECR-2025-2457</v>
      </c>
      <c r="C7" s="59" t="s">
        <v>412</v>
      </c>
      <c r="D7" s="60">
        <v>-7449.2</v>
      </c>
      <c r="E7" s="60">
        <v>1502.3</v>
      </c>
      <c r="F7" s="60">
        <v>0</v>
      </c>
      <c r="G7" s="60">
        <v>0</v>
      </c>
      <c r="H7" s="60">
        <v>0</v>
      </c>
      <c r="I7" s="60">
        <v>0</v>
      </c>
      <c r="J7" s="60">
        <v>0</v>
      </c>
      <c r="K7" s="60">
        <v>0</v>
      </c>
      <c r="L7" s="60">
        <v>0</v>
      </c>
      <c r="M7" s="60">
        <v>0</v>
      </c>
      <c r="N7" s="60">
        <v>0</v>
      </c>
      <c r="O7" s="60">
        <v>-5946.9</v>
      </c>
      <c r="P7" s="60">
        <v>-5946.9</v>
      </c>
      <c r="Q7" s="64"/>
      <c r="R7" s="64"/>
      <c r="S7" s="59" t="s">
        <v>290</v>
      </c>
      <c r="U7" s="53"/>
      <c r="V7" s="53"/>
      <c r="W7" s="53"/>
      <c r="X7" s="53"/>
      <c r="Y7" s="53"/>
      <c r="Z7" s="53"/>
      <c r="AA7" s="53"/>
      <c r="AB7" s="53"/>
      <c r="AC7" s="53"/>
      <c r="AD7" s="53"/>
      <c r="AE7" s="53"/>
      <c r="AF7" s="53"/>
      <c r="AG7" s="53"/>
    </row>
    <row r="8" spans="1:33" ht="15" customHeight="1" x14ac:dyDescent="0.25">
      <c r="B8" s="135" t="str">
        <f>HYPERLINK("https://www.pbo.gov.au/elections/2025-general-election/2025-election-commitments-costings/annualisation-general-social-survey-measuring-what-matters-reverse", "ECR-2025-2527")</f>
        <v>ECR-2025-2527</v>
      </c>
      <c r="C8" s="59" t="s">
        <v>152</v>
      </c>
      <c r="D8" s="60">
        <v>3.4</v>
      </c>
      <c r="E8" s="60">
        <v>3.6</v>
      </c>
      <c r="F8" s="60">
        <v>3.6</v>
      </c>
      <c r="G8" s="60">
        <v>3.6</v>
      </c>
      <c r="H8" s="60">
        <v>3.7</v>
      </c>
      <c r="I8" s="60">
        <v>3.8</v>
      </c>
      <c r="J8" s="60">
        <v>3.9</v>
      </c>
      <c r="K8" s="60">
        <v>4</v>
      </c>
      <c r="L8" s="60">
        <v>4.0999999999999996</v>
      </c>
      <c r="M8" s="60">
        <v>4.2</v>
      </c>
      <c r="N8" s="60">
        <v>4.3</v>
      </c>
      <c r="O8" s="60">
        <v>14.2</v>
      </c>
      <c r="P8" s="60">
        <v>42.2</v>
      </c>
      <c r="Q8" s="64"/>
      <c r="R8" s="64"/>
      <c r="S8" s="59" t="s">
        <v>261</v>
      </c>
      <c r="U8" s="53"/>
      <c r="V8" s="53"/>
      <c r="W8" s="53"/>
      <c r="X8" s="53"/>
      <c r="Y8" s="53"/>
      <c r="Z8" s="53"/>
      <c r="AA8" s="53"/>
      <c r="AB8" s="53"/>
      <c r="AC8" s="53"/>
      <c r="AD8" s="53"/>
      <c r="AE8" s="53"/>
      <c r="AF8" s="53"/>
      <c r="AG8" s="53"/>
    </row>
    <row r="9" spans="1:33" ht="15" customHeight="1" x14ac:dyDescent="0.25">
      <c r="B9" s="135" t="str">
        <f>HYPERLINK("https://www.pbo.gov.au/elections/2025-general-election/2025-election-commitments-costings/australian-small-business-and-family-enterprise-ombudsman", "ECR-2025-2449")</f>
        <v>ECR-2025-2449</v>
      </c>
      <c r="C9" s="59" t="s">
        <v>203</v>
      </c>
      <c r="D9" s="60">
        <v>-8</v>
      </c>
      <c r="E9" s="60">
        <v>-1.5</v>
      </c>
      <c r="F9" s="60">
        <v>-1.3</v>
      </c>
      <c r="G9" s="60">
        <v>-1.3</v>
      </c>
      <c r="H9" s="60">
        <v>-1.4</v>
      </c>
      <c r="I9" s="60">
        <v>-1.4</v>
      </c>
      <c r="J9" s="60">
        <v>-1.4</v>
      </c>
      <c r="K9" s="60">
        <v>-1.4</v>
      </c>
      <c r="L9" s="60">
        <v>-1.4</v>
      </c>
      <c r="M9" s="60">
        <v>-1.5</v>
      </c>
      <c r="N9" s="60">
        <v>-1.5</v>
      </c>
      <c r="O9" s="60">
        <v>-12.1</v>
      </c>
      <c r="P9" s="60">
        <v>-22.1</v>
      </c>
      <c r="Q9" s="64"/>
      <c r="R9" s="64"/>
      <c r="S9" s="59" t="s">
        <v>291</v>
      </c>
      <c r="U9" s="53"/>
      <c r="V9" s="53"/>
      <c r="W9" s="53"/>
      <c r="X9" s="53"/>
      <c r="Y9" s="53"/>
      <c r="Z9" s="53"/>
      <c r="AA9" s="53"/>
      <c r="AB9" s="53"/>
      <c r="AC9" s="53"/>
      <c r="AD9" s="53"/>
      <c r="AE9" s="53"/>
      <c r="AF9" s="53"/>
      <c r="AG9" s="53"/>
    </row>
    <row r="10" spans="1:33" ht="15" customHeight="1" x14ac:dyDescent="0.25">
      <c r="B10" s="135" t="str">
        <f>HYPERLINK("https://www.pbo.gov.au/elections/2025-general-election/2025-election-commitments-costings/australian-tertiary-education-commission-not-proceeding", "ECR-2025-2402")</f>
        <v>ECR-2025-2402</v>
      </c>
      <c r="C10" s="59" t="s">
        <v>146</v>
      </c>
      <c r="D10" s="60">
        <v>5.4</v>
      </c>
      <c r="E10" s="60">
        <v>6</v>
      </c>
      <c r="F10" s="60">
        <v>6</v>
      </c>
      <c r="G10" s="60">
        <v>5.6</v>
      </c>
      <c r="H10" s="60">
        <v>5.6</v>
      </c>
      <c r="I10" s="60">
        <v>4.3</v>
      </c>
      <c r="J10" s="60">
        <v>4.8</v>
      </c>
      <c r="K10" s="60">
        <v>4.4000000000000004</v>
      </c>
      <c r="L10" s="60">
        <v>4.5</v>
      </c>
      <c r="M10" s="60">
        <v>4.5</v>
      </c>
      <c r="N10" s="60">
        <v>4.5999999999999996</v>
      </c>
      <c r="O10" s="60">
        <v>23</v>
      </c>
      <c r="P10" s="60">
        <v>55.7</v>
      </c>
      <c r="Q10" s="64"/>
      <c r="R10" s="64"/>
      <c r="S10" s="59" t="s">
        <v>292</v>
      </c>
      <c r="U10" s="53"/>
      <c r="V10" s="53"/>
      <c r="W10" s="53"/>
      <c r="X10" s="53"/>
      <c r="Y10" s="53"/>
      <c r="Z10" s="53"/>
      <c r="AA10" s="53"/>
      <c r="AB10" s="53"/>
      <c r="AC10" s="53"/>
      <c r="AD10" s="53"/>
      <c r="AE10" s="53"/>
      <c r="AF10" s="53"/>
      <c r="AG10" s="53"/>
    </row>
    <row r="11" spans="1:33" ht="15" customHeight="1" x14ac:dyDescent="0.25">
      <c r="B11" s="135" t="str">
        <f>HYPERLINK("https://www.pbo.gov.au/elections/2025-general-election/2025-election-commitments-costings/cease-duplicative-research-activities-climate-change-authority", "ECR-2025-2493")</f>
        <v>ECR-2025-2493</v>
      </c>
      <c r="C11" s="59" t="s">
        <v>142</v>
      </c>
      <c r="D11" s="60">
        <v>2.8</v>
      </c>
      <c r="E11" s="60">
        <v>2.8</v>
      </c>
      <c r="F11" s="60">
        <v>2.8</v>
      </c>
      <c r="G11" s="60">
        <v>2.8</v>
      </c>
      <c r="H11" s="60">
        <v>2.8</v>
      </c>
      <c r="I11" s="60">
        <v>2.8</v>
      </c>
      <c r="J11" s="60">
        <v>2.9</v>
      </c>
      <c r="K11" s="60">
        <v>2.9</v>
      </c>
      <c r="L11" s="60">
        <v>2.9</v>
      </c>
      <c r="M11" s="60">
        <v>2.9</v>
      </c>
      <c r="N11" s="60">
        <v>3</v>
      </c>
      <c r="O11" s="60">
        <v>11.2</v>
      </c>
      <c r="P11" s="60">
        <v>31.4</v>
      </c>
      <c r="Q11" s="64"/>
      <c r="R11" s="64"/>
      <c r="S11" s="59" t="s">
        <v>261</v>
      </c>
      <c r="U11" s="53"/>
      <c r="V11" s="53"/>
      <c r="W11" s="53"/>
      <c r="X11" s="53"/>
      <c r="Y11" s="53"/>
      <c r="Z11" s="53"/>
      <c r="AA11" s="53"/>
      <c r="AB11" s="53"/>
      <c r="AC11" s="53"/>
      <c r="AD11" s="53"/>
      <c r="AE11" s="53"/>
      <c r="AF11" s="53"/>
      <c r="AG11" s="53"/>
    </row>
    <row r="12" spans="1:33" ht="15" customHeight="1" x14ac:dyDescent="0.25">
      <c r="B12" s="135" t="str">
        <f>HYPERLINK("https://www.pbo.gov.au/elections/2025-general-election/2025-election-commitments-costings/deliver-national-gas-plan-cease-funding-environmental-defenders-office", "ECR-2025-2786")</f>
        <v>ECR-2025-2786</v>
      </c>
      <c r="C12" s="59" t="s">
        <v>201</v>
      </c>
      <c r="D12" s="60">
        <v>0</v>
      </c>
      <c r="E12" s="60">
        <v>0</v>
      </c>
      <c r="F12" s="60">
        <v>2.2000000000000002</v>
      </c>
      <c r="G12" s="60">
        <v>2.2999999999999998</v>
      </c>
      <c r="H12" s="60">
        <v>2.2999999999999998</v>
      </c>
      <c r="I12" s="60">
        <v>2.4</v>
      </c>
      <c r="J12" s="60">
        <v>2.4</v>
      </c>
      <c r="K12" s="60">
        <v>2.5</v>
      </c>
      <c r="L12" s="60">
        <v>2.5</v>
      </c>
      <c r="M12" s="60">
        <v>2.6</v>
      </c>
      <c r="N12" s="60">
        <v>2.6</v>
      </c>
      <c r="O12" s="60">
        <v>4.5</v>
      </c>
      <c r="P12" s="60">
        <v>21.8</v>
      </c>
      <c r="Q12" s="64"/>
      <c r="R12" s="64"/>
      <c r="S12" s="59" t="s">
        <v>276</v>
      </c>
      <c r="U12" s="53"/>
      <c r="V12" s="53"/>
      <c r="W12" s="53"/>
      <c r="X12" s="53"/>
      <c r="Y12" s="53"/>
      <c r="Z12" s="53"/>
      <c r="AA12" s="53"/>
      <c r="AB12" s="53"/>
      <c r="AC12" s="53"/>
      <c r="AD12" s="53"/>
      <c r="AE12" s="53"/>
      <c r="AF12" s="53"/>
      <c r="AG12" s="53"/>
    </row>
    <row r="13" spans="1:33" ht="15" customHeight="1" x14ac:dyDescent="0.25">
      <c r="B13" s="135" t="str">
        <f>HYPERLINK("https://www.pbo.gov.au/elections/2025-general-election/2025-election-commitments-costings/cease-undersubscribed-covid-era-securitisation-measures", "ECR-2025-2065")</f>
        <v>ECR-2025-2065</v>
      </c>
      <c r="C13" s="59" t="s">
        <v>194</v>
      </c>
      <c r="D13" s="60">
        <v>-61.3</v>
      </c>
      <c r="E13" s="60">
        <v>111.7</v>
      </c>
      <c r="F13" s="60">
        <v>115.7</v>
      </c>
      <c r="G13" s="60">
        <v>122.9</v>
      </c>
      <c r="H13" s="60">
        <v>128</v>
      </c>
      <c r="I13" s="60">
        <v>134</v>
      </c>
      <c r="J13" s="60">
        <v>140</v>
      </c>
      <c r="K13" s="60">
        <v>146.1</v>
      </c>
      <c r="L13" s="60">
        <v>153.1</v>
      </c>
      <c r="M13" s="60">
        <v>160.19999999999999</v>
      </c>
      <c r="N13" s="60">
        <v>184.2</v>
      </c>
      <c r="O13" s="60">
        <v>289</v>
      </c>
      <c r="P13" s="60">
        <v>1334.6</v>
      </c>
      <c r="Q13" s="64"/>
      <c r="R13" s="64"/>
      <c r="S13" s="59" t="s">
        <v>261</v>
      </c>
      <c r="U13" s="53"/>
      <c r="V13" s="53"/>
      <c r="W13" s="53"/>
      <c r="X13" s="53"/>
      <c r="Y13" s="53"/>
      <c r="Z13" s="53"/>
      <c r="AA13" s="53"/>
      <c r="AB13" s="53"/>
      <c r="AC13" s="53"/>
      <c r="AD13" s="53"/>
      <c r="AE13" s="53"/>
      <c r="AF13" s="53"/>
      <c r="AG13" s="53"/>
    </row>
    <row r="14" spans="1:33" ht="15" customHeight="1" x14ac:dyDescent="0.25">
      <c r="B14" s="135" t="str">
        <f>HYPERLINK("https://www.pbo.gov.au/elections/2025-general-election/2025-election-commitments-costings/Cost%20of%20Living%20Tax%20Offset", "ECR-2025-2666")</f>
        <v>ECR-2025-2666</v>
      </c>
      <c r="C14" s="59" t="s">
        <v>218</v>
      </c>
      <c r="D14" s="60">
        <v>0</v>
      </c>
      <c r="E14" s="60">
        <v>-10700</v>
      </c>
      <c r="F14" s="60">
        <v>-600</v>
      </c>
      <c r="G14" s="60">
        <v>0</v>
      </c>
      <c r="H14" s="60">
        <v>0</v>
      </c>
      <c r="I14" s="60">
        <v>0</v>
      </c>
      <c r="J14" s="60">
        <v>0</v>
      </c>
      <c r="K14" s="60">
        <v>0</v>
      </c>
      <c r="L14" s="60">
        <v>0</v>
      </c>
      <c r="M14" s="60">
        <v>0</v>
      </c>
      <c r="N14" s="60">
        <v>0</v>
      </c>
      <c r="O14" s="60">
        <v>-11300</v>
      </c>
      <c r="P14" s="60">
        <v>-11300</v>
      </c>
      <c r="Q14" s="64"/>
      <c r="R14" s="64"/>
      <c r="S14" s="59" t="s">
        <v>293</v>
      </c>
      <c r="U14" s="53"/>
      <c r="V14" s="53"/>
      <c r="W14" s="53"/>
      <c r="X14" s="53"/>
      <c r="Y14" s="53"/>
      <c r="Z14" s="53"/>
      <c r="AA14" s="53"/>
      <c r="AB14" s="53"/>
      <c r="AC14" s="53"/>
      <c r="AD14" s="53"/>
      <c r="AE14" s="53"/>
      <c r="AF14" s="53"/>
      <c r="AG14" s="53"/>
    </row>
    <row r="15" spans="1:33" ht="15" customHeight="1" x14ac:dyDescent="0.25">
      <c r="B15" s="59" t="s">
        <v>111</v>
      </c>
      <c r="C15" s="59" t="s">
        <v>413</v>
      </c>
      <c r="D15" s="60">
        <v>0</v>
      </c>
      <c r="E15" s="60">
        <v>0</v>
      </c>
      <c r="F15" s="60">
        <v>0</v>
      </c>
      <c r="G15" s="60">
        <v>0</v>
      </c>
      <c r="H15" s="60">
        <v>0</v>
      </c>
      <c r="I15" s="60">
        <v>0</v>
      </c>
      <c r="J15" s="60">
        <v>0</v>
      </c>
      <c r="K15" s="60">
        <v>0</v>
      </c>
      <c r="L15" s="60">
        <v>0</v>
      </c>
      <c r="M15" s="60">
        <v>0</v>
      </c>
      <c r="N15" s="60">
        <v>0</v>
      </c>
      <c r="O15" s="60">
        <v>0</v>
      </c>
      <c r="P15" s="60">
        <v>0</v>
      </c>
      <c r="Q15" s="64"/>
      <c r="R15" s="64"/>
      <c r="S15" s="59" t="s">
        <v>294</v>
      </c>
      <c r="U15" s="53"/>
      <c r="V15" s="53"/>
      <c r="W15" s="53"/>
      <c r="X15" s="53"/>
      <c r="Y15" s="53"/>
      <c r="Z15" s="53"/>
      <c r="AA15" s="53"/>
      <c r="AB15" s="53"/>
      <c r="AC15" s="53"/>
      <c r="AD15" s="53"/>
      <c r="AE15" s="53"/>
      <c r="AF15" s="53"/>
      <c r="AG15" s="53"/>
    </row>
    <row r="16" spans="1:33" ht="15" customHeight="1" x14ac:dyDescent="0.25">
      <c r="B16" s="59" t="s">
        <v>113</v>
      </c>
      <c r="C16" s="59" t="s">
        <v>414</v>
      </c>
      <c r="D16" s="60">
        <v>0</v>
      </c>
      <c r="E16" s="60">
        <v>0</v>
      </c>
      <c r="F16" s="60">
        <v>0</v>
      </c>
      <c r="G16" s="60">
        <v>0</v>
      </c>
      <c r="H16" s="60">
        <v>0</v>
      </c>
      <c r="I16" s="60">
        <v>0</v>
      </c>
      <c r="J16" s="60">
        <v>0</v>
      </c>
      <c r="K16" s="60">
        <v>0</v>
      </c>
      <c r="L16" s="60">
        <v>0</v>
      </c>
      <c r="M16" s="60">
        <v>0</v>
      </c>
      <c r="N16" s="60">
        <v>0</v>
      </c>
      <c r="O16" s="60">
        <v>0</v>
      </c>
      <c r="P16" s="60">
        <v>0</v>
      </c>
      <c r="Q16" s="64"/>
      <c r="R16" s="64"/>
      <c r="S16" s="59" t="s">
        <v>261</v>
      </c>
      <c r="U16" s="53"/>
      <c r="V16" s="53"/>
      <c r="W16" s="53"/>
      <c r="X16" s="53"/>
      <c r="Y16" s="53"/>
      <c r="Z16" s="53"/>
      <c r="AA16" s="53"/>
      <c r="AB16" s="53"/>
      <c r="AC16" s="53"/>
      <c r="AD16" s="53"/>
      <c r="AE16" s="53"/>
      <c r="AF16" s="53"/>
      <c r="AG16" s="53"/>
    </row>
    <row r="17" spans="2:33" ht="15" customHeight="1" x14ac:dyDescent="0.25">
      <c r="B17" s="135" t="str">
        <f>HYPERLINK("https://www.pbo.gov.au/elections/2025-general-election/2025-election-commitments-costings/critical-minerals-production-tax-credits-do-not-proceed", "ECR-2025-2198")</f>
        <v>ECR-2025-2198</v>
      </c>
      <c r="C17" s="59" t="s">
        <v>145</v>
      </c>
      <c r="D17" s="60">
        <v>0</v>
      </c>
      <c r="E17" s="60">
        <v>0</v>
      </c>
      <c r="F17" s="60">
        <v>287.89999999999998</v>
      </c>
      <c r="G17" s="60">
        <v>923.2</v>
      </c>
      <c r="H17" s="60">
        <v>963.2</v>
      </c>
      <c r="I17" s="60">
        <v>1083.3</v>
      </c>
      <c r="J17" s="60">
        <v>1173.3</v>
      </c>
      <c r="K17" s="60">
        <v>1233.4000000000001</v>
      </c>
      <c r="L17" s="60">
        <v>1303.4000000000001</v>
      </c>
      <c r="M17" s="60">
        <v>1383.4</v>
      </c>
      <c r="N17" s="60">
        <v>1553.5</v>
      </c>
      <c r="O17" s="60">
        <v>1211.0999999999999</v>
      </c>
      <c r="P17" s="60">
        <v>9904.6</v>
      </c>
      <c r="Q17" s="64"/>
      <c r="R17" s="64"/>
      <c r="S17" s="59" t="s">
        <v>261</v>
      </c>
      <c r="U17" s="53"/>
      <c r="V17" s="53"/>
      <c r="W17" s="53"/>
      <c r="X17" s="53"/>
      <c r="Y17" s="53"/>
      <c r="Z17" s="53"/>
      <c r="AA17" s="53"/>
      <c r="AB17" s="53"/>
      <c r="AC17" s="53"/>
      <c r="AD17" s="53"/>
      <c r="AE17" s="53"/>
      <c r="AF17" s="53"/>
      <c r="AG17" s="53"/>
    </row>
    <row r="18" spans="2:33" ht="15" customHeight="1" x14ac:dyDescent="0.25">
      <c r="B18" s="135" t="str">
        <f>HYPERLINK("https://www.pbo.gov.au/elections/2025-general-election/2025-election-commitments-costings/ditrdca-net-zero-unit-and-maritime-strategic-fleet-reprioritisation", "ECR-2025-2522")</f>
        <v>ECR-2025-2522</v>
      </c>
      <c r="C18" s="59" t="s">
        <v>246</v>
      </c>
      <c r="D18" s="60">
        <v>2</v>
      </c>
      <c r="E18" s="60">
        <v>2.1</v>
      </c>
      <c r="F18" s="60">
        <v>2.1</v>
      </c>
      <c r="G18" s="60">
        <v>2.1</v>
      </c>
      <c r="H18" s="60">
        <v>2.2000000000000002</v>
      </c>
      <c r="I18" s="60">
        <v>2.2000000000000002</v>
      </c>
      <c r="J18" s="60">
        <v>2.2000000000000002</v>
      </c>
      <c r="K18" s="60">
        <v>2.2000000000000002</v>
      </c>
      <c r="L18" s="60">
        <v>2.2999999999999998</v>
      </c>
      <c r="M18" s="60">
        <v>2.2999999999999998</v>
      </c>
      <c r="N18" s="60">
        <v>2.2999999999999998</v>
      </c>
      <c r="O18" s="60">
        <v>8.3000000000000007</v>
      </c>
      <c r="P18" s="60">
        <v>24</v>
      </c>
      <c r="Q18" s="64"/>
      <c r="R18" s="64"/>
      <c r="S18" s="59" t="s">
        <v>261</v>
      </c>
      <c r="U18" s="53"/>
      <c r="V18" s="53"/>
      <c r="W18" s="53"/>
      <c r="X18" s="53"/>
      <c r="Y18" s="53"/>
      <c r="Z18" s="53"/>
      <c r="AA18" s="53"/>
      <c r="AB18" s="53"/>
      <c r="AC18" s="53"/>
      <c r="AD18" s="53"/>
      <c r="AE18" s="53"/>
      <c r="AF18" s="53"/>
      <c r="AG18" s="53"/>
    </row>
    <row r="19" spans="2:33" ht="15" customHeight="1" x14ac:dyDescent="0.25">
      <c r="B19" s="135" t="str">
        <f>HYPERLINK("https://www.pbo.gov.au/elections/2025-general-election/2025-election-commitments-costings/Early%E2%80%91stage%20venture%20capital%20cap%20and%20venture%20capital%20cap%20%E2%80%93%20increase%20and%20index", "ECR-2025-2096")</f>
        <v>ECR-2025-2096</v>
      </c>
      <c r="C19" s="59" t="s">
        <v>415</v>
      </c>
      <c r="D19" s="60" t="s">
        <v>11</v>
      </c>
      <c r="E19" s="60" t="s">
        <v>11</v>
      </c>
      <c r="F19" s="60" t="s">
        <v>11</v>
      </c>
      <c r="G19" s="60" t="s">
        <v>11</v>
      </c>
      <c r="H19" s="60" t="s">
        <v>11</v>
      </c>
      <c r="I19" s="60" t="s">
        <v>11</v>
      </c>
      <c r="J19" s="60" t="s">
        <v>11</v>
      </c>
      <c r="K19" s="60" t="s">
        <v>11</v>
      </c>
      <c r="L19" s="60" t="s">
        <v>11</v>
      </c>
      <c r="M19" s="60" t="s">
        <v>11</v>
      </c>
      <c r="N19" s="60" t="s">
        <v>11</v>
      </c>
      <c r="O19" s="60" t="s">
        <v>11</v>
      </c>
      <c r="P19" s="60" t="s">
        <v>11</v>
      </c>
      <c r="Q19" s="64"/>
      <c r="R19" s="64"/>
      <c r="S19" s="59" t="s">
        <v>291</v>
      </c>
      <c r="U19" s="53"/>
      <c r="V19" s="53"/>
      <c r="W19" s="53"/>
      <c r="X19" s="53"/>
      <c r="Y19" s="53"/>
      <c r="Z19" s="53"/>
      <c r="AA19" s="53"/>
      <c r="AB19" s="53"/>
      <c r="AC19" s="53"/>
      <c r="AD19" s="53"/>
      <c r="AE19" s="53"/>
      <c r="AF19" s="53"/>
      <c r="AG19" s="53"/>
    </row>
    <row r="20" spans="2:33" ht="15" customHeight="1" x14ac:dyDescent="0.25">
      <c r="B20" s="135" t="str">
        <f>HYPERLINK("https://www.pbo.gov.au/elections/2025-general-election/2025-election-commitments-costings/entrepreneurship-accelerator-tax-incentive", "ECR-2025-2472")</f>
        <v>ECR-2025-2472</v>
      </c>
      <c r="C20" s="59" t="s">
        <v>416</v>
      </c>
      <c r="D20" s="60">
        <v>-4.0999999999999996</v>
      </c>
      <c r="E20" s="60">
        <v>-387.9</v>
      </c>
      <c r="F20" s="60">
        <v>-610.6</v>
      </c>
      <c r="G20" s="60">
        <v>-789.4</v>
      </c>
      <c r="H20" s="60">
        <v>-397.4</v>
      </c>
      <c r="I20" s="60">
        <v>-174.4</v>
      </c>
      <c r="J20" s="60">
        <v>0</v>
      </c>
      <c r="K20" s="60">
        <v>0</v>
      </c>
      <c r="L20" s="60">
        <v>0</v>
      </c>
      <c r="M20" s="60">
        <v>0</v>
      </c>
      <c r="N20" s="60">
        <v>0</v>
      </c>
      <c r="O20" s="60">
        <v>-1792</v>
      </c>
      <c r="P20" s="60">
        <v>-2363.8000000000002</v>
      </c>
      <c r="Q20" s="64"/>
      <c r="R20" s="64"/>
      <c r="S20" s="59" t="s">
        <v>291</v>
      </c>
      <c r="U20" s="53"/>
      <c r="V20" s="53"/>
      <c r="W20" s="53"/>
      <c r="X20" s="53"/>
      <c r="Y20" s="53"/>
      <c r="Z20" s="53"/>
      <c r="AA20" s="53"/>
      <c r="AB20" s="53"/>
      <c r="AC20" s="53"/>
      <c r="AD20" s="53"/>
      <c r="AE20" s="53"/>
      <c r="AF20" s="53"/>
      <c r="AG20" s="53"/>
    </row>
    <row r="21" spans="2:33" ht="15" customHeight="1" x14ac:dyDescent="0.25">
      <c r="B21" s="59" t="s">
        <v>112</v>
      </c>
      <c r="C21" s="59" t="s">
        <v>392</v>
      </c>
      <c r="D21" s="60">
        <v>0</v>
      </c>
      <c r="E21" s="60">
        <v>0</v>
      </c>
      <c r="F21" s="60">
        <v>0</v>
      </c>
      <c r="G21" s="60">
        <v>0</v>
      </c>
      <c r="H21" s="60">
        <v>0</v>
      </c>
      <c r="I21" s="60">
        <v>0</v>
      </c>
      <c r="J21" s="60">
        <v>0</v>
      </c>
      <c r="K21" s="60">
        <v>0</v>
      </c>
      <c r="L21" s="60">
        <v>0</v>
      </c>
      <c r="M21" s="60">
        <v>0</v>
      </c>
      <c r="N21" s="60">
        <v>0</v>
      </c>
      <c r="O21" s="60">
        <v>0</v>
      </c>
      <c r="P21" s="60">
        <v>0</v>
      </c>
      <c r="Q21" s="64"/>
      <c r="R21" s="64"/>
      <c r="S21" s="59" t="s">
        <v>295</v>
      </c>
      <c r="U21" s="53"/>
      <c r="V21" s="53"/>
      <c r="W21" s="53"/>
      <c r="X21" s="53"/>
      <c r="Y21" s="53"/>
      <c r="Z21" s="53"/>
      <c r="AA21" s="53"/>
      <c r="AB21" s="53"/>
      <c r="AC21" s="53"/>
      <c r="AD21" s="53"/>
      <c r="AE21" s="53"/>
      <c r="AF21" s="53"/>
      <c r="AG21" s="53"/>
    </row>
    <row r="22" spans="2:33" ht="15" customHeight="1" x14ac:dyDescent="0.25">
      <c r="B22" s="135" t="str">
        <f>HYPERLINK("https://www.pbo.gov.au/elections/2025-general-election/2025-election-commitments-costings/export-growth-grants-tariff-affected-sectors", "ECR-2025-2393")</f>
        <v>ECR-2025-2393</v>
      </c>
      <c r="C22" s="59" t="s">
        <v>156</v>
      </c>
      <c r="D22" s="60">
        <v>-12.5</v>
      </c>
      <c r="E22" s="60">
        <v>-12.5</v>
      </c>
      <c r="F22" s="60">
        <v>-12.5</v>
      </c>
      <c r="G22" s="60">
        <v>-12.5</v>
      </c>
      <c r="H22" s="60">
        <v>-12.5</v>
      </c>
      <c r="I22" s="60">
        <v>-12.5</v>
      </c>
      <c r="J22" s="60">
        <v>-12.5</v>
      </c>
      <c r="K22" s="60">
        <v>-12.5</v>
      </c>
      <c r="L22" s="60">
        <v>-12.5</v>
      </c>
      <c r="M22" s="60">
        <v>-12.5</v>
      </c>
      <c r="N22" s="60">
        <v>-12.5</v>
      </c>
      <c r="O22" s="60">
        <v>-50</v>
      </c>
      <c r="P22" s="60">
        <v>-137.5</v>
      </c>
      <c r="Q22" s="64"/>
      <c r="R22" s="64"/>
      <c r="S22" s="59" t="s">
        <v>261</v>
      </c>
      <c r="U22" s="53"/>
      <c r="V22" s="53"/>
      <c r="W22" s="53"/>
      <c r="X22" s="53"/>
      <c r="Y22" s="53"/>
      <c r="Z22" s="53"/>
      <c r="AA22" s="53"/>
      <c r="AB22" s="53"/>
      <c r="AC22" s="53"/>
      <c r="AD22" s="53"/>
      <c r="AE22" s="53"/>
      <c r="AF22" s="53"/>
      <c r="AG22" s="53"/>
    </row>
    <row r="23" spans="2:33" ht="15" customHeight="1" x14ac:dyDescent="0.25">
      <c r="B23" s="135" t="str">
        <f>HYPERLINK("https://www.pbo.gov.au/elections/2025-general-election/2025-election-commitments-costings/future-made-australia-attracting-investments-key-industries-redirect", "ECR-2025-2001")</f>
        <v>ECR-2025-2001</v>
      </c>
      <c r="C23" s="59" t="s">
        <v>154</v>
      </c>
      <c r="D23" s="60">
        <v>2.9</v>
      </c>
      <c r="E23" s="60">
        <v>2.9</v>
      </c>
      <c r="F23" s="60">
        <v>3.1</v>
      </c>
      <c r="G23" s="60">
        <v>3.1</v>
      </c>
      <c r="H23" s="60">
        <v>3.1</v>
      </c>
      <c r="I23" s="60">
        <v>3.1</v>
      </c>
      <c r="J23" s="60">
        <v>3.2</v>
      </c>
      <c r="K23" s="60">
        <v>3.2</v>
      </c>
      <c r="L23" s="60">
        <v>3.2</v>
      </c>
      <c r="M23" s="60">
        <v>3.3</v>
      </c>
      <c r="N23" s="60">
        <v>3.4</v>
      </c>
      <c r="O23" s="60">
        <v>12</v>
      </c>
      <c r="P23" s="60">
        <v>34.5</v>
      </c>
      <c r="Q23" s="64"/>
      <c r="R23" s="64"/>
      <c r="S23" s="59" t="s">
        <v>261</v>
      </c>
      <c r="U23" s="53"/>
      <c r="V23" s="53"/>
      <c r="W23" s="53"/>
      <c r="X23" s="53"/>
      <c r="Y23" s="53"/>
      <c r="Z23" s="53"/>
      <c r="AA23" s="53"/>
      <c r="AB23" s="53"/>
      <c r="AC23" s="53"/>
      <c r="AD23" s="53"/>
      <c r="AE23" s="53"/>
      <c r="AF23" s="53"/>
      <c r="AG23" s="53"/>
    </row>
    <row r="24" spans="2:33" ht="15" customHeight="1" x14ac:dyDescent="0.25">
      <c r="B24" s="135" t="str">
        <f>HYPERLINK("https://www.pbo.gov.au/elections/2025-general-election/2025-election-commitments-costings/grants-attorney-generals-and-foreign-affairs-and-trade-portfolios-prioritise", "ECR-2025-2890")</f>
        <v>ECR-2025-2890</v>
      </c>
      <c r="C24" s="59" t="s">
        <v>153</v>
      </c>
      <c r="D24" s="60">
        <v>23.9</v>
      </c>
      <c r="E24" s="60">
        <v>42.9</v>
      </c>
      <c r="F24" s="60">
        <v>42.5</v>
      </c>
      <c r="G24" s="60">
        <v>43.4</v>
      </c>
      <c r="H24" s="60">
        <v>42.9</v>
      </c>
      <c r="I24" s="60">
        <v>43.8</v>
      </c>
      <c r="J24" s="60">
        <v>44.8</v>
      </c>
      <c r="K24" s="60">
        <v>45.9</v>
      </c>
      <c r="L24" s="60">
        <v>46.9</v>
      </c>
      <c r="M24" s="60">
        <v>48</v>
      </c>
      <c r="N24" s="60">
        <v>49.1</v>
      </c>
      <c r="O24" s="60">
        <v>152.69999999999999</v>
      </c>
      <c r="P24" s="60">
        <v>474.1</v>
      </c>
      <c r="Q24" s="64"/>
      <c r="R24" s="64"/>
      <c r="S24" s="59" t="s">
        <v>261</v>
      </c>
      <c r="U24" s="53"/>
      <c r="V24" s="53"/>
      <c r="W24" s="53"/>
      <c r="X24" s="53"/>
      <c r="Y24" s="53"/>
      <c r="Z24" s="53"/>
      <c r="AA24" s="53"/>
      <c r="AB24" s="53"/>
      <c r="AC24" s="53"/>
      <c r="AD24" s="53"/>
      <c r="AE24" s="53"/>
      <c r="AF24" s="53"/>
      <c r="AG24" s="53"/>
    </row>
    <row r="25" spans="2:33" ht="15" customHeight="1" x14ac:dyDescent="0.25">
      <c r="B25" s="135" t="str">
        <f>HYPERLINK("https://www.pbo.gov.au/elections/2025-general-election/2025-election-commitments-costings/green-aluminium-production-credit", "ECR-2025-2262")</f>
        <v>ECR-2025-2262</v>
      </c>
      <c r="C25" s="59" t="s">
        <v>163</v>
      </c>
      <c r="D25" s="60">
        <v>2.4</v>
      </c>
      <c r="E25" s="60">
        <v>1.4</v>
      </c>
      <c r="F25" s="60">
        <v>2.2999999999999998</v>
      </c>
      <c r="G25" s="60">
        <v>2.1</v>
      </c>
      <c r="H25" s="60">
        <v>115.8</v>
      </c>
      <c r="I25" s="60">
        <v>115.2</v>
      </c>
      <c r="J25" s="60">
        <v>116.5</v>
      </c>
      <c r="K25" s="60">
        <v>114.7</v>
      </c>
      <c r="L25" s="60">
        <v>172.3</v>
      </c>
      <c r="M25" s="60">
        <v>171.7</v>
      </c>
      <c r="N25" s="60">
        <v>171.7</v>
      </c>
      <c r="O25" s="60">
        <v>8.1999999999999993</v>
      </c>
      <c r="P25" s="60">
        <v>986.1</v>
      </c>
      <c r="Q25" s="64"/>
      <c r="R25" s="64"/>
      <c r="S25" s="59" t="s">
        <v>261</v>
      </c>
      <c r="U25" s="53"/>
      <c r="V25" s="53"/>
      <c r="W25" s="53"/>
      <c r="X25" s="53"/>
      <c r="Y25" s="53"/>
      <c r="Z25" s="53"/>
      <c r="AA25" s="53"/>
      <c r="AB25" s="53"/>
      <c r="AC25" s="53"/>
      <c r="AD25" s="53"/>
      <c r="AE25" s="53"/>
      <c r="AF25" s="53"/>
      <c r="AG25" s="53"/>
    </row>
    <row r="26" spans="2:33" ht="15" customHeight="1" x14ac:dyDescent="0.25">
      <c r="B26" s="135" t="str">
        <f>HYPERLINK("https://www.pbo.gov.au/elections/2025-general-election/2025-election-commitments-costings/green-hydrogen-production-tax-incentives", "ECR-2025-2013")</f>
        <v>ECR-2025-2013</v>
      </c>
      <c r="C26" s="59" t="s">
        <v>155</v>
      </c>
      <c r="D26" s="60">
        <v>4.9000000000000004</v>
      </c>
      <c r="E26" s="60">
        <v>112.6</v>
      </c>
      <c r="F26" s="60">
        <v>481.1</v>
      </c>
      <c r="G26" s="60">
        <v>927.8</v>
      </c>
      <c r="H26" s="60">
        <v>1157.5999999999999</v>
      </c>
      <c r="I26" s="60">
        <v>1339.7</v>
      </c>
      <c r="J26" s="60">
        <v>1338.6</v>
      </c>
      <c r="K26" s="60">
        <v>1350.4</v>
      </c>
      <c r="L26" s="60">
        <v>1344.7</v>
      </c>
      <c r="M26" s="60">
        <v>1343.7</v>
      </c>
      <c r="N26" s="60">
        <v>1343.7</v>
      </c>
      <c r="O26" s="60">
        <v>1526.4</v>
      </c>
      <c r="P26" s="60">
        <v>10744.8</v>
      </c>
      <c r="Q26" s="64"/>
      <c r="R26" s="64"/>
      <c r="S26" s="59" t="s">
        <v>296</v>
      </c>
      <c r="U26" s="53"/>
      <c r="V26" s="53"/>
      <c r="W26" s="53"/>
      <c r="X26" s="53"/>
      <c r="Y26" s="53"/>
      <c r="Z26" s="53"/>
      <c r="AA26" s="53"/>
      <c r="AB26" s="53"/>
      <c r="AC26" s="53"/>
      <c r="AD26" s="53"/>
      <c r="AE26" s="53"/>
      <c r="AF26" s="53"/>
      <c r="AG26" s="53"/>
    </row>
    <row r="27" spans="2:33" ht="15" customHeight="1" x14ac:dyDescent="0.25">
      <c r="B27" s="135" t="str">
        <f>HYPERLINK("https://www.pbo.gov.au/elections/2025-general-election/2025-election-commitments-costings/instant-asset-write-increase-cap-30000-and-make-permanent", "ECR-2025-2329")</f>
        <v>ECR-2025-2329</v>
      </c>
      <c r="C27" s="59" t="s">
        <v>148</v>
      </c>
      <c r="D27" s="60">
        <v>0</v>
      </c>
      <c r="E27" s="60">
        <v>-100</v>
      </c>
      <c r="F27" s="60">
        <v>-879</v>
      </c>
      <c r="G27" s="60">
        <v>-927</v>
      </c>
      <c r="H27" s="60">
        <v>-462</v>
      </c>
      <c r="I27" s="60">
        <v>-324</v>
      </c>
      <c r="J27" s="60">
        <v>-279</v>
      </c>
      <c r="K27" s="60">
        <v>-250</v>
      </c>
      <c r="L27" s="60">
        <v>-233</v>
      </c>
      <c r="M27" s="60">
        <v>-223</v>
      </c>
      <c r="N27" s="60">
        <v>-219</v>
      </c>
      <c r="O27" s="60">
        <v>-1906</v>
      </c>
      <c r="P27" s="60">
        <v>-3896</v>
      </c>
      <c r="Q27" s="64"/>
      <c r="R27" s="64"/>
      <c r="S27" s="59" t="s">
        <v>291</v>
      </c>
      <c r="U27" s="53"/>
      <c r="V27" s="53"/>
      <c r="W27" s="53"/>
      <c r="X27" s="53"/>
      <c r="Y27" s="53"/>
      <c r="Z27" s="53"/>
      <c r="AA27" s="53"/>
      <c r="AB27" s="53"/>
      <c r="AC27" s="53"/>
      <c r="AD27" s="53"/>
      <c r="AE27" s="53"/>
      <c r="AF27" s="53"/>
      <c r="AG27" s="53"/>
    </row>
    <row r="28" spans="2:33" ht="15" customHeight="1" x14ac:dyDescent="0.25">
      <c r="B28" s="135" t="str">
        <f>HYPERLINK("https://www.pbo.gov.au/elections/2025-general-election/2025-election-commitments-costings/International%20Climate%20Step%20Up%20%E2%80%93%20redirect", "ECR-2025-2150")</f>
        <v>ECR-2025-2150</v>
      </c>
      <c r="C28" s="59" t="s">
        <v>359</v>
      </c>
      <c r="D28" s="60">
        <v>12.2</v>
      </c>
      <c r="E28" s="60">
        <v>8.1</v>
      </c>
      <c r="F28" s="60">
        <v>7.6</v>
      </c>
      <c r="G28" s="60">
        <v>0</v>
      </c>
      <c r="H28" s="60">
        <v>0</v>
      </c>
      <c r="I28" s="60">
        <v>0</v>
      </c>
      <c r="J28" s="60">
        <v>0</v>
      </c>
      <c r="K28" s="60">
        <v>0</v>
      </c>
      <c r="L28" s="60">
        <v>0</v>
      </c>
      <c r="M28" s="60">
        <v>0</v>
      </c>
      <c r="N28" s="60">
        <v>0</v>
      </c>
      <c r="O28" s="60">
        <v>27.9</v>
      </c>
      <c r="P28" s="60">
        <v>27.9</v>
      </c>
      <c r="Q28" s="64"/>
      <c r="R28" s="64"/>
      <c r="S28" s="59" t="s">
        <v>261</v>
      </c>
      <c r="U28" s="53"/>
      <c r="V28" s="53"/>
      <c r="W28" s="53"/>
      <c r="X28" s="53"/>
      <c r="Y28" s="53"/>
      <c r="Z28" s="53"/>
      <c r="AA28" s="53"/>
      <c r="AB28" s="53"/>
      <c r="AC28" s="53"/>
      <c r="AD28" s="53"/>
      <c r="AE28" s="53"/>
      <c r="AF28" s="53"/>
      <c r="AG28" s="53"/>
    </row>
    <row r="29" spans="2:33" ht="15" customHeight="1" x14ac:dyDescent="0.25">
      <c r="B29" s="135" t="str">
        <f>HYPERLINK("https://www.pbo.gov.au/elections/2025-general-election/2025-election-commitments-costings/junior-minerals-exploration-incentive", "ECR-2025-2406")</f>
        <v>ECR-2025-2406</v>
      </c>
      <c r="C29" s="59" t="s">
        <v>360</v>
      </c>
      <c r="D29" s="60">
        <v>0</v>
      </c>
      <c r="E29" s="60">
        <v>-3.1</v>
      </c>
      <c r="F29" s="60">
        <v>-4.2</v>
      </c>
      <c r="G29" s="60">
        <v>-4.2</v>
      </c>
      <c r="H29" s="60">
        <v>-4.2</v>
      </c>
      <c r="I29" s="60">
        <v>-1.1000000000000001</v>
      </c>
      <c r="J29" s="60">
        <v>0</v>
      </c>
      <c r="K29" s="60">
        <v>0</v>
      </c>
      <c r="L29" s="60">
        <v>0</v>
      </c>
      <c r="M29" s="60">
        <v>0</v>
      </c>
      <c r="N29" s="60">
        <v>0</v>
      </c>
      <c r="O29" s="60">
        <v>-11.5</v>
      </c>
      <c r="P29" s="60">
        <v>-16.8</v>
      </c>
      <c r="Q29" s="64"/>
      <c r="R29" s="64"/>
      <c r="S29" s="59" t="s">
        <v>297</v>
      </c>
      <c r="U29" s="53"/>
      <c r="V29" s="53"/>
      <c r="W29" s="53"/>
      <c r="X29" s="53"/>
      <c r="Y29" s="53"/>
      <c r="Z29" s="53"/>
      <c r="AA29" s="53"/>
      <c r="AB29" s="53"/>
      <c r="AC29" s="53"/>
      <c r="AD29" s="53"/>
      <c r="AE29" s="53"/>
      <c r="AF29" s="53"/>
      <c r="AG29" s="53"/>
    </row>
    <row r="30" spans="2:33" ht="15" customHeight="1" x14ac:dyDescent="0.25">
      <c r="B30" s="135" t="str">
        <f>HYPERLINK("https://www.pbo.gov.au/elections/2025-general-election/2025-election-commitments-costings/landmass-and-territorial-water-lock-reverse", "ECR-2025-2808")</f>
        <v>ECR-2025-2808</v>
      </c>
      <c r="C30" s="59" t="s">
        <v>217</v>
      </c>
      <c r="D30" s="60">
        <v>51.4</v>
      </c>
      <c r="E30" s="60">
        <v>52</v>
      </c>
      <c r="F30" s="60">
        <v>50.8</v>
      </c>
      <c r="G30" s="60">
        <v>57.7</v>
      </c>
      <c r="H30" s="60">
        <v>50</v>
      </c>
      <c r="I30" s="60">
        <v>0</v>
      </c>
      <c r="J30" s="60">
        <v>0</v>
      </c>
      <c r="K30" s="60">
        <v>0</v>
      </c>
      <c r="L30" s="60">
        <v>0</v>
      </c>
      <c r="M30" s="60">
        <v>0</v>
      </c>
      <c r="N30" s="60">
        <v>0</v>
      </c>
      <c r="O30" s="60">
        <v>211.9</v>
      </c>
      <c r="P30" s="60">
        <v>261.89999999999998</v>
      </c>
      <c r="Q30" s="64"/>
      <c r="R30" s="64"/>
      <c r="S30" s="59" t="s">
        <v>261</v>
      </c>
      <c r="U30" s="53"/>
      <c r="V30" s="53"/>
      <c r="W30" s="53"/>
      <c r="X30" s="53"/>
      <c r="Y30" s="53"/>
      <c r="Z30" s="53"/>
      <c r="AA30" s="53"/>
      <c r="AB30" s="53"/>
      <c r="AC30" s="53"/>
      <c r="AD30" s="53"/>
      <c r="AE30" s="53"/>
      <c r="AF30" s="53"/>
      <c r="AG30" s="53"/>
    </row>
    <row r="31" spans="2:33" ht="15" customHeight="1" x14ac:dyDescent="0.25">
      <c r="B31" s="135" t="str">
        <f>HYPERLINK("https://www.pbo.gov.au/elections/2025-general-election/2025-election-commitments-costings/meat-poultry-contractual-fairness", "ECR-2025-2191")</f>
        <v>ECR-2025-2191</v>
      </c>
      <c r="C31" s="59" t="s">
        <v>417</v>
      </c>
      <c r="D31" s="60">
        <v>-0.5</v>
      </c>
      <c r="E31" s="60">
        <v>-0.5</v>
      </c>
      <c r="F31" s="60">
        <v>-0.5</v>
      </c>
      <c r="G31" s="60">
        <v>-0.5</v>
      </c>
      <c r="H31" s="60">
        <v>-0.5</v>
      </c>
      <c r="I31" s="60">
        <v>-0.5</v>
      </c>
      <c r="J31" s="60">
        <v>-0.5</v>
      </c>
      <c r="K31" s="60">
        <v>-0.5</v>
      </c>
      <c r="L31" s="60">
        <v>-0.5</v>
      </c>
      <c r="M31" s="60">
        <v>-0.5</v>
      </c>
      <c r="N31" s="60">
        <v>-0.5</v>
      </c>
      <c r="O31" s="60">
        <v>-2</v>
      </c>
      <c r="P31" s="60">
        <v>-5.5</v>
      </c>
      <c r="Q31" s="64"/>
      <c r="R31" s="64"/>
      <c r="S31" s="59" t="s">
        <v>298</v>
      </c>
      <c r="U31" s="53"/>
      <c r="V31" s="53"/>
      <c r="W31" s="53"/>
      <c r="X31" s="53"/>
      <c r="Y31" s="53"/>
      <c r="Z31" s="53"/>
      <c r="AA31" s="53"/>
      <c r="AB31" s="53"/>
      <c r="AC31" s="53"/>
      <c r="AD31" s="53"/>
      <c r="AE31" s="53"/>
      <c r="AF31" s="53"/>
      <c r="AG31" s="53"/>
    </row>
    <row r="32" spans="2:33" ht="15" customHeight="1" x14ac:dyDescent="0.25">
      <c r="B32" s="135" t="str">
        <f>HYPERLINK("https://www.pbo.gov.au/elections/2025-general-election/2025-election-commitments-costings/National%20Food%20Security%20Strategy", "ECR-2025-2566")</f>
        <v>ECR-2025-2566</v>
      </c>
      <c r="C32" s="59" t="s">
        <v>230</v>
      </c>
      <c r="D32" s="60">
        <v>1.8</v>
      </c>
      <c r="E32" s="60">
        <v>1.7</v>
      </c>
      <c r="F32" s="60">
        <v>0</v>
      </c>
      <c r="G32" s="60">
        <v>0</v>
      </c>
      <c r="H32" s="60">
        <v>0</v>
      </c>
      <c r="I32" s="60">
        <v>0</v>
      </c>
      <c r="J32" s="60">
        <v>0</v>
      </c>
      <c r="K32" s="60">
        <v>0</v>
      </c>
      <c r="L32" s="60">
        <v>0</v>
      </c>
      <c r="M32" s="60">
        <v>0</v>
      </c>
      <c r="N32" s="60">
        <v>0</v>
      </c>
      <c r="O32" s="60">
        <v>3.5</v>
      </c>
      <c r="P32" s="60">
        <v>3.5</v>
      </c>
      <c r="Q32" s="64"/>
      <c r="R32" s="64"/>
      <c r="S32" s="59" t="s">
        <v>299</v>
      </c>
      <c r="U32" s="53"/>
      <c r="V32" s="53"/>
      <c r="W32" s="53"/>
      <c r="X32" s="53"/>
      <c r="Y32" s="53"/>
      <c r="Z32" s="53"/>
      <c r="AA32" s="53"/>
      <c r="AB32" s="53"/>
      <c r="AC32" s="53"/>
      <c r="AD32" s="53"/>
      <c r="AE32" s="53"/>
      <c r="AF32" s="53"/>
      <c r="AG32" s="53"/>
    </row>
    <row r="33" spans="2:33" ht="15" customHeight="1" x14ac:dyDescent="0.25">
      <c r="B33" s="135" t="str">
        <f>HYPERLINK("https://www.pbo.gov.au/elections/2025-general-election/2025-election-commitments-costings/national-organic-standard", "ECR-2025-2006")</f>
        <v>ECR-2025-2006</v>
      </c>
      <c r="C33" s="59" t="s">
        <v>159</v>
      </c>
      <c r="D33" s="60">
        <v>-0.4</v>
      </c>
      <c r="E33" s="60">
        <v>-0.4</v>
      </c>
      <c r="F33" s="60">
        <v>-0.4</v>
      </c>
      <c r="G33" s="60">
        <v>-0.4</v>
      </c>
      <c r="H33" s="60">
        <v>-0.4</v>
      </c>
      <c r="I33" s="60">
        <v>-0.4</v>
      </c>
      <c r="J33" s="60">
        <v>-0.4</v>
      </c>
      <c r="K33" s="60">
        <v>-0.4</v>
      </c>
      <c r="L33" s="60">
        <v>-0.4</v>
      </c>
      <c r="M33" s="60">
        <v>-0.4</v>
      </c>
      <c r="N33" s="60">
        <v>-0.4</v>
      </c>
      <c r="O33" s="60">
        <v>-1.6</v>
      </c>
      <c r="P33" s="60">
        <v>-4.4000000000000004</v>
      </c>
      <c r="Q33" s="64"/>
      <c r="R33" s="64"/>
      <c r="S33" s="59" t="s">
        <v>298</v>
      </c>
      <c r="U33" s="53"/>
      <c r="V33" s="53"/>
      <c r="W33" s="53"/>
      <c r="X33" s="53"/>
      <c r="Y33" s="53"/>
      <c r="Z33" s="53"/>
      <c r="AA33" s="53"/>
      <c r="AB33" s="53"/>
      <c r="AC33" s="53"/>
      <c r="AD33" s="53"/>
      <c r="AE33" s="53"/>
      <c r="AF33" s="53"/>
      <c r="AG33" s="53"/>
    </row>
    <row r="34" spans="2:33" ht="15" customHeight="1" x14ac:dyDescent="0.25">
      <c r="B34" s="135" t="str">
        <f>HYPERLINK("https://www.pbo.gov.au/elections/2025-general-election/2025-election-commitments-costings/national-reconstruction-fund-and-national-reconstruction-fund-corporation-unwind-and-close", "ECR-2025-2247")</f>
        <v>ECR-2025-2247</v>
      </c>
      <c r="C34" s="59" t="s">
        <v>247</v>
      </c>
      <c r="D34" s="60">
        <v>1961.5</v>
      </c>
      <c r="E34" s="60">
        <v>2426.6999999999998</v>
      </c>
      <c r="F34" s="60">
        <v>3101.5</v>
      </c>
      <c r="G34" s="60">
        <v>3704.3</v>
      </c>
      <c r="H34" s="60">
        <v>2973.6</v>
      </c>
      <c r="I34" s="60">
        <v>61.9</v>
      </c>
      <c r="J34" s="60">
        <v>83.2</v>
      </c>
      <c r="K34" s="60">
        <v>87.5</v>
      </c>
      <c r="L34" s="60">
        <v>92.9</v>
      </c>
      <c r="M34" s="60">
        <v>99.3</v>
      </c>
      <c r="N34" s="60">
        <v>105.7</v>
      </c>
      <c r="O34" s="60">
        <v>11194</v>
      </c>
      <c r="P34" s="60">
        <v>14698.1</v>
      </c>
      <c r="Q34" s="64"/>
      <c r="R34" s="64"/>
      <c r="S34" s="59" t="s">
        <v>261</v>
      </c>
      <c r="U34" s="53"/>
      <c r="V34" s="53"/>
      <c r="W34" s="53"/>
      <c r="X34" s="53"/>
      <c r="Y34" s="53"/>
      <c r="Z34" s="53"/>
      <c r="AA34" s="53"/>
      <c r="AB34" s="53"/>
      <c r="AC34" s="53"/>
      <c r="AD34" s="53"/>
      <c r="AE34" s="53"/>
      <c r="AF34" s="53"/>
      <c r="AG34" s="53"/>
    </row>
    <row r="35" spans="2:33" ht="15" customHeight="1" x14ac:dyDescent="0.25">
      <c r="B35" s="135" t="str">
        <f>HYPERLINK("https://www.pbo.gov.au/elections/2025-general-election/2025-election-commitments-costings/nature-positive-plan-and-environmental-protection-australia-reversal", "ECR-2025-2043")</f>
        <v>ECR-2025-2043</v>
      </c>
      <c r="C35" s="59" t="s">
        <v>160</v>
      </c>
      <c r="D35" s="60">
        <v>33.5</v>
      </c>
      <c r="E35" s="60">
        <v>22.2</v>
      </c>
      <c r="F35" s="60">
        <v>4.5</v>
      </c>
      <c r="G35" s="60">
        <v>4.5</v>
      </c>
      <c r="H35" s="60">
        <v>4.5</v>
      </c>
      <c r="I35" s="60">
        <v>4.5</v>
      </c>
      <c r="J35" s="60">
        <v>4.5</v>
      </c>
      <c r="K35" s="60">
        <v>4.5</v>
      </c>
      <c r="L35" s="60">
        <v>4.5</v>
      </c>
      <c r="M35" s="60">
        <v>4.5</v>
      </c>
      <c r="N35" s="60">
        <v>4.5</v>
      </c>
      <c r="O35" s="60">
        <v>64.7</v>
      </c>
      <c r="P35" s="60">
        <v>96.2</v>
      </c>
      <c r="Q35" s="64"/>
      <c r="R35" s="64"/>
      <c r="S35" s="59" t="s">
        <v>261</v>
      </c>
      <c r="U35" s="53"/>
      <c r="V35" s="53"/>
      <c r="W35" s="53"/>
      <c r="X35" s="53"/>
      <c r="Y35" s="53"/>
      <c r="Z35" s="53"/>
      <c r="AA35" s="53"/>
      <c r="AB35" s="53"/>
      <c r="AC35" s="53"/>
      <c r="AD35" s="53"/>
      <c r="AE35" s="53"/>
      <c r="AF35" s="53"/>
      <c r="AG35" s="53"/>
    </row>
    <row r="36" spans="2:33" ht="15" customHeight="1" x14ac:dyDescent="0.25">
      <c r="B36" s="135" t="str">
        <f>HYPERLINK("https://www.pbo.gov.au/elections/2025-general-election/2025-election-commitments-costings/net-zero-economy-agency-and-related-measures-unwind", "ECR-2025-2039")</f>
        <v>ECR-2025-2039</v>
      </c>
      <c r="C36" s="59" t="s">
        <v>202</v>
      </c>
      <c r="D36" s="60">
        <v>127.9</v>
      </c>
      <c r="E36" s="60">
        <v>114.8</v>
      </c>
      <c r="F36" s="60">
        <v>95.9</v>
      </c>
      <c r="G36" s="60">
        <v>89.4</v>
      </c>
      <c r="H36" s="60">
        <v>89.4</v>
      </c>
      <c r="I36" s="60">
        <v>89.4</v>
      </c>
      <c r="J36" s="60">
        <v>89.4</v>
      </c>
      <c r="K36" s="60">
        <v>89.4</v>
      </c>
      <c r="L36" s="60">
        <v>89.4</v>
      </c>
      <c r="M36" s="60">
        <v>88.1</v>
      </c>
      <c r="N36" s="60">
        <v>93.4</v>
      </c>
      <c r="O36" s="60">
        <v>428</v>
      </c>
      <c r="P36" s="60">
        <v>1056.5</v>
      </c>
      <c r="Q36" s="64"/>
      <c r="R36" s="64"/>
      <c r="S36" s="59" t="s">
        <v>261</v>
      </c>
      <c r="U36" s="53"/>
      <c r="V36" s="53"/>
      <c r="W36" s="53"/>
      <c r="X36" s="53"/>
      <c r="Y36" s="53"/>
      <c r="Z36" s="53"/>
      <c r="AA36" s="53"/>
      <c r="AB36" s="53"/>
      <c r="AC36" s="53"/>
      <c r="AD36" s="53"/>
      <c r="AE36" s="53"/>
      <c r="AF36" s="53"/>
      <c r="AG36" s="53"/>
    </row>
    <row r="37" spans="2:33" ht="15" customHeight="1" x14ac:dyDescent="0.25">
      <c r="B37" s="135" t="str">
        <f>HYPERLINK("https://www.pbo.gov.au/elections/2025-general-election/2025-election-commitments-costings/New%20agricultural%20visa", "ECR-2025-2004")</f>
        <v>ECR-2025-2004</v>
      </c>
      <c r="C37" s="59" t="s">
        <v>231</v>
      </c>
      <c r="D37" s="60">
        <v>-4.4000000000000004</v>
      </c>
      <c r="E37" s="60">
        <v>40.1</v>
      </c>
      <c r="F37" s="60">
        <v>41.9</v>
      </c>
      <c r="G37" s="60">
        <v>43.8</v>
      </c>
      <c r="H37" s="60">
        <v>45.7</v>
      </c>
      <c r="I37" s="60">
        <v>47.6</v>
      </c>
      <c r="J37" s="60">
        <v>49.6</v>
      </c>
      <c r="K37" s="60">
        <v>51.7</v>
      </c>
      <c r="L37" s="60">
        <v>53.8</v>
      </c>
      <c r="M37" s="60">
        <v>56</v>
      </c>
      <c r="N37" s="60">
        <v>58.4</v>
      </c>
      <c r="O37" s="60">
        <v>121.4</v>
      </c>
      <c r="P37" s="60">
        <v>484.2</v>
      </c>
      <c r="Q37" s="64"/>
      <c r="R37" s="64"/>
      <c r="S37" s="59" t="s">
        <v>300</v>
      </c>
      <c r="U37" s="53"/>
      <c r="V37" s="53"/>
      <c r="W37" s="53"/>
      <c r="X37" s="53"/>
      <c r="Y37" s="53"/>
      <c r="Z37" s="53"/>
      <c r="AA37" s="53"/>
      <c r="AB37" s="53"/>
      <c r="AC37" s="53"/>
      <c r="AD37" s="53"/>
      <c r="AE37" s="53"/>
      <c r="AF37" s="53"/>
      <c r="AG37" s="53"/>
    </row>
    <row r="38" spans="2:33" ht="15" customHeight="1" x14ac:dyDescent="0.25">
      <c r="B38" s="135" t="str">
        <f>HYPERLINK("https://www.pbo.gov.au/elections/2025-general-election/2025-election-commitments-costings/northam-re-use-water-scheme-western-australia-support", "ECR-2025-2655")</f>
        <v>ECR-2025-2655</v>
      </c>
      <c r="C38" s="59" t="s">
        <v>143</v>
      </c>
      <c r="D38" s="60">
        <v>-2</v>
      </c>
      <c r="E38" s="60">
        <v>-2</v>
      </c>
      <c r="F38" s="60">
        <v>-3</v>
      </c>
      <c r="G38" s="60">
        <v>-3</v>
      </c>
      <c r="H38" s="60">
        <v>0</v>
      </c>
      <c r="I38" s="60">
        <v>0</v>
      </c>
      <c r="J38" s="60">
        <v>0</v>
      </c>
      <c r="K38" s="60">
        <v>0</v>
      </c>
      <c r="L38" s="60">
        <v>0</v>
      </c>
      <c r="M38" s="60">
        <v>0</v>
      </c>
      <c r="N38" s="60">
        <v>0</v>
      </c>
      <c r="O38" s="60">
        <v>-10</v>
      </c>
      <c r="P38" s="60">
        <v>-10</v>
      </c>
      <c r="Q38" s="64"/>
      <c r="R38" s="64"/>
      <c r="S38" s="59" t="s">
        <v>301</v>
      </c>
      <c r="U38" s="53"/>
      <c r="V38" s="53"/>
      <c r="W38" s="53"/>
      <c r="X38" s="53"/>
      <c r="Y38" s="53"/>
      <c r="Z38" s="53"/>
      <c r="AA38" s="53"/>
      <c r="AB38" s="53"/>
      <c r="AC38" s="53"/>
      <c r="AD38" s="53"/>
      <c r="AE38" s="53"/>
      <c r="AF38" s="53"/>
      <c r="AG38" s="53"/>
    </row>
    <row r="39" spans="2:33" ht="15" customHeight="1" x14ac:dyDescent="0.25">
      <c r="B39" s="135" t="str">
        <f>HYPERLINK("https://www.pbo.gov.au/elections/2025-general-election/2025-election-commitments-costings/Passenger%20Movement%20Charge%20%E2%80%93%20indexation", "ECR-2025-2007")</f>
        <v>ECR-2025-2007</v>
      </c>
      <c r="C39" s="59" t="s">
        <v>193</v>
      </c>
      <c r="D39" s="60">
        <v>39</v>
      </c>
      <c r="E39" s="60">
        <v>76</v>
      </c>
      <c r="F39" s="60">
        <v>110</v>
      </c>
      <c r="G39" s="60">
        <v>151</v>
      </c>
      <c r="H39" s="60">
        <v>196</v>
      </c>
      <c r="I39" s="60">
        <v>245</v>
      </c>
      <c r="J39" s="60">
        <v>298</v>
      </c>
      <c r="K39" s="60">
        <v>355</v>
      </c>
      <c r="L39" s="60">
        <v>417</v>
      </c>
      <c r="M39" s="60">
        <v>484</v>
      </c>
      <c r="N39" s="60">
        <v>555</v>
      </c>
      <c r="O39" s="60">
        <v>376</v>
      </c>
      <c r="P39" s="60">
        <v>2926</v>
      </c>
      <c r="Q39" s="64"/>
      <c r="R39" s="64"/>
      <c r="S39" s="59" t="s">
        <v>261</v>
      </c>
      <c r="U39" s="53"/>
      <c r="V39" s="53"/>
      <c r="W39" s="53"/>
      <c r="X39" s="53"/>
      <c r="Y39" s="53"/>
      <c r="Z39" s="53"/>
      <c r="AA39" s="53"/>
      <c r="AB39" s="53"/>
      <c r="AC39" s="53"/>
      <c r="AD39" s="53"/>
      <c r="AE39" s="53"/>
      <c r="AF39" s="53"/>
      <c r="AG39" s="53"/>
    </row>
    <row r="40" spans="2:33" ht="15" customHeight="1" x14ac:dyDescent="0.25">
      <c r="B40" s="135" t="str">
        <f>HYPERLINK("https://www.pbo.gov.au/elections/2025-general-election/2025-election-commitments-costings/personal-income-tax-amendments", "ECR-2025-2525")</f>
        <v>ECR-2025-2525</v>
      </c>
      <c r="C40" s="59" t="s">
        <v>149</v>
      </c>
      <c r="D40" s="60">
        <v>0</v>
      </c>
      <c r="E40" s="60">
        <v>3000</v>
      </c>
      <c r="F40" s="60">
        <v>6700</v>
      </c>
      <c r="G40" s="60">
        <v>7400</v>
      </c>
      <c r="H40" s="60">
        <v>7700</v>
      </c>
      <c r="I40" s="60">
        <v>7900</v>
      </c>
      <c r="J40" s="60">
        <v>8000</v>
      </c>
      <c r="K40" s="60">
        <v>8200</v>
      </c>
      <c r="L40" s="60">
        <v>8400</v>
      </c>
      <c r="M40" s="60">
        <v>8600</v>
      </c>
      <c r="N40" s="60">
        <v>8700</v>
      </c>
      <c r="O40" s="60">
        <v>17100</v>
      </c>
      <c r="P40" s="60">
        <v>74600</v>
      </c>
      <c r="Q40" s="64"/>
      <c r="R40" s="64"/>
      <c r="S40" s="59" t="s">
        <v>261</v>
      </c>
      <c r="U40" s="53"/>
      <c r="V40" s="53"/>
      <c r="W40" s="53"/>
      <c r="X40" s="53"/>
      <c r="Y40" s="53"/>
      <c r="Z40" s="53"/>
      <c r="AA40" s="53"/>
      <c r="AB40" s="53"/>
      <c r="AC40" s="53"/>
      <c r="AD40" s="53"/>
      <c r="AE40" s="53"/>
      <c r="AF40" s="53"/>
      <c r="AG40" s="53"/>
    </row>
    <row r="41" spans="2:33" ht="15" customHeight="1" x14ac:dyDescent="0.25">
      <c r="B41" s="135" t="str">
        <f>HYPERLINK("https://www.pbo.gov.au/elections/2025-general-election/2025-election-commitments-costings/Prioritise%20agricultural%20programs%20%E2%80%93%20Renewed%20Australian%20Animal%20Welfare%20Strategy", "ECR-2025-2594")</f>
        <v>ECR-2025-2594</v>
      </c>
      <c r="C41" s="59" t="s">
        <v>418</v>
      </c>
      <c r="D41" s="60">
        <v>1.3</v>
      </c>
      <c r="E41" s="60">
        <v>1.3</v>
      </c>
      <c r="F41" s="60">
        <v>0</v>
      </c>
      <c r="G41" s="60">
        <v>0</v>
      </c>
      <c r="H41" s="60">
        <v>0</v>
      </c>
      <c r="I41" s="60">
        <v>0</v>
      </c>
      <c r="J41" s="60">
        <v>0</v>
      </c>
      <c r="K41" s="60">
        <v>0</v>
      </c>
      <c r="L41" s="60">
        <v>0</v>
      </c>
      <c r="M41" s="60">
        <v>0</v>
      </c>
      <c r="N41" s="60">
        <v>0</v>
      </c>
      <c r="O41" s="60">
        <v>2.6</v>
      </c>
      <c r="P41" s="60">
        <v>2.6</v>
      </c>
      <c r="Q41" s="61"/>
      <c r="R41" s="61"/>
      <c r="S41" s="59" t="s">
        <v>261</v>
      </c>
      <c r="U41" s="53"/>
      <c r="V41" s="53"/>
      <c r="W41" s="53"/>
      <c r="X41" s="53"/>
      <c r="Y41" s="53"/>
      <c r="Z41" s="53"/>
      <c r="AA41" s="53"/>
      <c r="AB41" s="53"/>
      <c r="AC41" s="53"/>
      <c r="AD41" s="53"/>
      <c r="AE41" s="53"/>
      <c r="AF41" s="53"/>
      <c r="AG41" s="53"/>
    </row>
    <row r="42" spans="2:33" ht="15" customHeight="1" x14ac:dyDescent="0.25">
      <c r="B42" s="135" t="str">
        <f>HYPERLINK("https://www.pbo.gov.au/elections/2025-general-election/2025-election-commitments-costings/productivity-fund-payments-redirection", "ECR-2025-2516")</f>
        <v>ECR-2025-2516</v>
      </c>
      <c r="C42" s="59" t="s">
        <v>157</v>
      </c>
      <c r="D42" s="60">
        <v>81.900000000000006</v>
      </c>
      <c r="E42" s="60">
        <v>81.900000000000006</v>
      </c>
      <c r="F42" s="60">
        <v>81.8</v>
      </c>
      <c r="G42" s="60">
        <v>81.8</v>
      </c>
      <c r="H42" s="60">
        <v>81.8</v>
      </c>
      <c r="I42" s="60">
        <v>81.8</v>
      </c>
      <c r="J42" s="60">
        <v>81.8</v>
      </c>
      <c r="K42" s="60">
        <v>81.8</v>
      </c>
      <c r="L42" s="60">
        <v>81.8</v>
      </c>
      <c r="M42" s="60">
        <v>81.8</v>
      </c>
      <c r="N42" s="60">
        <v>81.8</v>
      </c>
      <c r="O42" s="60">
        <v>327.39999999999998</v>
      </c>
      <c r="P42" s="60">
        <v>900</v>
      </c>
      <c r="Q42" s="61"/>
      <c r="R42" s="61"/>
      <c r="S42" s="59" t="s">
        <v>261</v>
      </c>
      <c r="U42" s="53"/>
      <c r="V42" s="53"/>
      <c r="W42" s="53"/>
      <c r="X42" s="53"/>
      <c r="Y42" s="53"/>
      <c r="Z42" s="53"/>
      <c r="AA42" s="53"/>
      <c r="AB42" s="53"/>
      <c r="AC42" s="53"/>
      <c r="AD42" s="53"/>
      <c r="AE42" s="53"/>
      <c r="AF42" s="53"/>
      <c r="AG42" s="53"/>
    </row>
    <row r="43" spans="2:33" ht="15" customHeight="1" x14ac:dyDescent="0.25">
      <c r="B43" s="59" t="s">
        <v>116</v>
      </c>
      <c r="C43" s="59" t="s">
        <v>393</v>
      </c>
      <c r="D43" s="60">
        <v>0</v>
      </c>
      <c r="E43" s="60">
        <v>0</v>
      </c>
      <c r="F43" s="60">
        <v>0</v>
      </c>
      <c r="G43" s="60">
        <v>0</v>
      </c>
      <c r="H43" s="60">
        <v>0</v>
      </c>
      <c r="I43" s="60">
        <v>0</v>
      </c>
      <c r="J43" s="60">
        <v>0</v>
      </c>
      <c r="K43" s="60">
        <v>0</v>
      </c>
      <c r="L43" s="60">
        <v>0</v>
      </c>
      <c r="M43" s="60">
        <v>0</v>
      </c>
      <c r="N43" s="60">
        <v>0</v>
      </c>
      <c r="O43" s="60">
        <v>0</v>
      </c>
      <c r="P43" s="60">
        <v>0</v>
      </c>
      <c r="Q43" s="61"/>
      <c r="R43" s="61"/>
      <c r="S43" s="59" t="s">
        <v>302</v>
      </c>
      <c r="U43" s="53"/>
      <c r="V43" s="53"/>
      <c r="W43" s="53"/>
      <c r="X43" s="53"/>
      <c r="Y43" s="53"/>
      <c r="Z43" s="53"/>
      <c r="AA43" s="53"/>
      <c r="AB43" s="53"/>
      <c r="AC43" s="53"/>
      <c r="AD43" s="53"/>
      <c r="AE43" s="53"/>
      <c r="AF43" s="53"/>
      <c r="AG43" s="53"/>
    </row>
    <row r="44" spans="2:33" ht="15" customHeight="1" x14ac:dyDescent="0.25">
      <c r="B44" s="135" t="str">
        <f>HYPERLINK("https://www.pbo.gov.au/elections/2025-general-election/2025-election-commitments-costings/Red%20imported%20fire%20ant%20national%20response%20%E2%80%93%20independent%20review", "ECR-2025-2113")</f>
        <v>ECR-2025-2113</v>
      </c>
      <c r="C44" s="59" t="s">
        <v>419</v>
      </c>
      <c r="D44" s="60">
        <v>-3</v>
      </c>
      <c r="E44" s="60">
        <v>0</v>
      </c>
      <c r="F44" s="60">
        <v>0</v>
      </c>
      <c r="G44" s="60">
        <v>0</v>
      </c>
      <c r="H44" s="60">
        <v>0</v>
      </c>
      <c r="I44" s="60">
        <v>0</v>
      </c>
      <c r="J44" s="60">
        <v>0</v>
      </c>
      <c r="K44" s="60">
        <v>0</v>
      </c>
      <c r="L44" s="60">
        <v>0</v>
      </c>
      <c r="M44" s="60">
        <v>0</v>
      </c>
      <c r="N44" s="60">
        <v>0</v>
      </c>
      <c r="O44" s="60">
        <v>-3</v>
      </c>
      <c r="P44" s="60">
        <v>-3</v>
      </c>
      <c r="Q44" s="64"/>
      <c r="R44" s="64"/>
      <c r="S44" s="59" t="s">
        <v>298</v>
      </c>
      <c r="U44" s="53"/>
      <c r="V44" s="53"/>
      <c r="W44" s="53"/>
      <c r="X44" s="53"/>
      <c r="Y44" s="53"/>
      <c r="Z44" s="53"/>
      <c r="AA44" s="53"/>
      <c r="AB44" s="53"/>
      <c r="AC44" s="53"/>
      <c r="AD44" s="53"/>
      <c r="AE44" s="53"/>
      <c r="AF44" s="53"/>
      <c r="AG44" s="53"/>
    </row>
    <row r="45" spans="2:33" ht="15" customHeight="1" x14ac:dyDescent="0.25">
      <c r="B45" s="135" t="str">
        <f>HYPERLINK("https://www.pbo.gov.au/elections/2025-general-election/2025-election-commitments-costings/Reducing%20the%20APS%20to%20a%20sustainable%20level%20over%20time%20through%20natural%20attrition", "ECR-2025-2147")</f>
        <v>ECR-2025-2147</v>
      </c>
      <c r="C45" s="59" t="s">
        <v>370</v>
      </c>
      <c r="D45" s="60">
        <v>1006</v>
      </c>
      <c r="E45" s="60">
        <v>2331</v>
      </c>
      <c r="F45" s="60">
        <v>3708</v>
      </c>
      <c r="G45" s="60">
        <v>5106</v>
      </c>
      <c r="H45" s="60">
        <v>6590</v>
      </c>
      <c r="I45" s="60">
        <v>7215</v>
      </c>
      <c r="J45" s="60">
        <v>7334</v>
      </c>
      <c r="K45" s="60">
        <v>7439</v>
      </c>
      <c r="L45" s="60">
        <v>7551</v>
      </c>
      <c r="M45" s="60">
        <v>7650</v>
      </c>
      <c r="N45" s="60">
        <v>7766</v>
      </c>
      <c r="O45" s="60">
        <v>12151</v>
      </c>
      <c r="P45" s="60">
        <v>63696</v>
      </c>
      <c r="Q45" s="61"/>
      <c r="R45" s="61"/>
      <c r="S45" s="59" t="s">
        <v>372</v>
      </c>
      <c r="U45" s="53"/>
      <c r="V45" s="53"/>
      <c r="W45" s="53"/>
      <c r="X45" s="53"/>
      <c r="Y45" s="53"/>
      <c r="Z45" s="53"/>
      <c r="AA45" s="53"/>
      <c r="AB45" s="53"/>
      <c r="AC45" s="53"/>
      <c r="AD45" s="53"/>
      <c r="AE45" s="53"/>
      <c r="AF45" s="53"/>
      <c r="AG45" s="53"/>
    </row>
    <row r="46" spans="2:33" ht="15" customHeight="1" x14ac:dyDescent="0.25">
      <c r="B46" s="59" t="s">
        <v>115</v>
      </c>
      <c r="C46" s="59" t="s">
        <v>394</v>
      </c>
      <c r="D46" s="60">
        <v>0</v>
      </c>
      <c r="E46" s="60">
        <v>0</v>
      </c>
      <c r="F46" s="60">
        <v>0</v>
      </c>
      <c r="G46" s="60">
        <v>0</v>
      </c>
      <c r="H46" s="60">
        <v>0</v>
      </c>
      <c r="I46" s="60">
        <v>0</v>
      </c>
      <c r="J46" s="60">
        <v>0</v>
      </c>
      <c r="K46" s="60">
        <v>0</v>
      </c>
      <c r="L46" s="60">
        <v>0</v>
      </c>
      <c r="M46" s="60">
        <v>0</v>
      </c>
      <c r="N46" s="60">
        <v>0</v>
      </c>
      <c r="O46" s="60">
        <v>0</v>
      </c>
      <c r="P46" s="60">
        <v>0</v>
      </c>
      <c r="Q46" s="61"/>
      <c r="R46" s="61"/>
      <c r="S46" s="59" t="s">
        <v>303</v>
      </c>
      <c r="U46" s="53"/>
      <c r="V46" s="53"/>
      <c r="W46" s="53"/>
      <c r="X46" s="53"/>
      <c r="Y46" s="53"/>
      <c r="Z46" s="53"/>
      <c r="AA46" s="53"/>
      <c r="AB46" s="53"/>
      <c r="AC46" s="53"/>
      <c r="AD46" s="53"/>
      <c r="AE46" s="53"/>
      <c r="AF46" s="53"/>
      <c r="AG46" s="53"/>
    </row>
    <row r="47" spans="2:33" ht="15" customHeight="1" x14ac:dyDescent="0.25">
      <c r="B47" s="135" t="str">
        <f>HYPERLINK("https://www.pbo.gov.au/elections/2025-general-election/2025-election-commitments-costings/Regional%20tourism%20grants", "ECR-2025-2161")</f>
        <v>ECR-2025-2161</v>
      </c>
      <c r="C47" s="59" t="s">
        <v>420</v>
      </c>
      <c r="D47" s="60">
        <v>-6.5</v>
      </c>
      <c r="E47" s="60">
        <v>-2.4</v>
      </c>
      <c r="F47" s="60">
        <v>-2.1</v>
      </c>
      <c r="G47" s="60">
        <v>0</v>
      </c>
      <c r="H47" s="60">
        <v>0</v>
      </c>
      <c r="I47" s="60">
        <v>0</v>
      </c>
      <c r="J47" s="60">
        <v>0</v>
      </c>
      <c r="K47" s="60">
        <v>0</v>
      </c>
      <c r="L47" s="60">
        <v>0</v>
      </c>
      <c r="M47" s="60">
        <v>0</v>
      </c>
      <c r="N47" s="60">
        <v>0</v>
      </c>
      <c r="O47" s="60">
        <v>-11</v>
      </c>
      <c r="P47" s="60">
        <v>-11</v>
      </c>
      <c r="Q47" s="61"/>
      <c r="R47" s="61"/>
      <c r="S47" s="59" t="s">
        <v>261</v>
      </c>
      <c r="U47" s="53"/>
      <c r="V47" s="53"/>
      <c r="W47" s="53"/>
      <c r="X47" s="53"/>
      <c r="Y47" s="53"/>
      <c r="Z47" s="53"/>
      <c r="AA47" s="53"/>
      <c r="AB47" s="53"/>
      <c r="AC47" s="53"/>
      <c r="AD47" s="53"/>
      <c r="AE47" s="53"/>
      <c r="AF47" s="53"/>
      <c r="AG47" s="53"/>
    </row>
    <row r="48" spans="2:33" ht="15" customHeight="1" x14ac:dyDescent="0.25">
      <c r="B48" s="135" t="str">
        <f>HYPERLINK("https://www.pbo.gov.au/elections/2025-general-election/2025-election-commitments-costings/Regulation-and-taxation-vaping-products", "ECR-2025-2400")</f>
        <v>ECR-2025-2400</v>
      </c>
      <c r="C48" s="59" t="s">
        <v>228</v>
      </c>
      <c r="D48" s="60">
        <v>631.70000000000005</v>
      </c>
      <c r="E48" s="60">
        <v>887.4</v>
      </c>
      <c r="F48" s="60">
        <v>1038.5999999999999</v>
      </c>
      <c r="G48" s="60">
        <v>1208.5999999999999</v>
      </c>
      <c r="H48" s="60">
        <v>1378.6</v>
      </c>
      <c r="I48" s="60">
        <v>1568.6</v>
      </c>
      <c r="J48" s="60">
        <v>1768.6</v>
      </c>
      <c r="K48" s="60">
        <v>1988.5</v>
      </c>
      <c r="L48" s="60">
        <v>2218.5</v>
      </c>
      <c r="M48" s="60">
        <v>2458.5</v>
      </c>
      <c r="N48" s="60">
        <v>2718.5</v>
      </c>
      <c r="O48" s="60">
        <v>3766.3</v>
      </c>
      <c r="P48" s="60">
        <v>17866.099999999999</v>
      </c>
      <c r="Q48" s="61"/>
      <c r="R48" s="61"/>
      <c r="S48" s="59" t="s">
        <v>304</v>
      </c>
      <c r="U48" s="53"/>
      <c r="V48" s="53"/>
      <c r="W48" s="53"/>
      <c r="X48" s="53"/>
      <c r="Y48" s="53"/>
      <c r="Z48" s="53"/>
      <c r="AA48" s="53"/>
      <c r="AB48" s="53"/>
      <c r="AC48" s="53"/>
      <c r="AD48" s="53"/>
      <c r="AE48" s="53"/>
      <c r="AF48" s="53"/>
      <c r="AG48" s="53"/>
    </row>
    <row r="49" spans="2:33" ht="15" customHeight="1" x14ac:dyDescent="0.25">
      <c r="B49" s="135" t="str">
        <f>HYPERLINK("https://www.pbo.gov.au/elections/2025-general-election/2025-election-commitments-costings/reinstate-native-title-respondent-and-native-title-officer-schemes", "ECR-2025-2634")</f>
        <v>ECR-2025-2634</v>
      </c>
      <c r="C49" s="59" t="s">
        <v>147</v>
      </c>
      <c r="D49" s="60">
        <v>-2</v>
      </c>
      <c r="E49" s="60">
        <v>-2.1</v>
      </c>
      <c r="F49" s="60">
        <v>-2.1</v>
      </c>
      <c r="G49" s="60">
        <v>-2.1</v>
      </c>
      <c r="H49" s="60">
        <v>-2.2000000000000002</v>
      </c>
      <c r="I49" s="60">
        <v>-2.2000000000000002</v>
      </c>
      <c r="J49" s="60">
        <v>-2.2999999999999998</v>
      </c>
      <c r="K49" s="60">
        <v>-2.2999999999999998</v>
      </c>
      <c r="L49" s="60">
        <v>-2.4</v>
      </c>
      <c r="M49" s="60">
        <v>-2.4</v>
      </c>
      <c r="N49" s="60">
        <v>-2.5</v>
      </c>
      <c r="O49" s="60">
        <v>-8.3000000000000007</v>
      </c>
      <c r="P49" s="60">
        <v>-24.6</v>
      </c>
      <c r="Q49" s="61"/>
      <c r="R49" s="61"/>
      <c r="S49" s="59" t="s">
        <v>298</v>
      </c>
      <c r="U49" s="53"/>
      <c r="V49" s="53"/>
      <c r="W49" s="53"/>
      <c r="X49" s="53"/>
      <c r="Y49" s="53"/>
      <c r="Z49" s="53"/>
      <c r="AA49" s="53"/>
      <c r="AB49" s="53"/>
      <c r="AC49" s="53"/>
      <c r="AD49" s="53"/>
      <c r="AE49" s="53"/>
      <c r="AF49" s="53"/>
      <c r="AG49" s="53"/>
    </row>
    <row r="50" spans="2:33" ht="15" customHeight="1" x14ac:dyDescent="0.25">
      <c r="B50" s="135" t="str">
        <f>HYPERLINK("https://www.pbo.gov.au/elections/2025-general-election/2025-election-commitments-costings/repeal-ban-live-sheep-export-sea", "ECR-2025-2623")</f>
        <v>ECR-2025-2623</v>
      </c>
      <c r="C50" s="59" t="s">
        <v>421</v>
      </c>
      <c r="D50" s="60">
        <v>31</v>
      </c>
      <c r="E50" s="60">
        <v>29.3</v>
      </c>
      <c r="F50" s="60">
        <v>15.7</v>
      </c>
      <c r="G50" s="60">
        <v>1.7</v>
      </c>
      <c r="H50" s="60">
        <v>0</v>
      </c>
      <c r="I50" s="60">
        <v>0</v>
      </c>
      <c r="J50" s="60">
        <v>0</v>
      </c>
      <c r="K50" s="60">
        <v>0</v>
      </c>
      <c r="L50" s="60">
        <v>0</v>
      </c>
      <c r="M50" s="60">
        <v>0</v>
      </c>
      <c r="N50" s="60">
        <v>0</v>
      </c>
      <c r="O50" s="60">
        <v>77.7</v>
      </c>
      <c r="P50" s="60">
        <v>77.7</v>
      </c>
      <c r="Q50" s="61"/>
      <c r="R50" s="61"/>
      <c r="S50" s="59" t="s">
        <v>305</v>
      </c>
      <c r="U50" s="53"/>
      <c r="V50" s="53"/>
      <c r="W50" s="53"/>
      <c r="X50" s="53"/>
      <c r="Y50" s="53"/>
      <c r="Z50" s="53"/>
      <c r="AA50" s="53"/>
      <c r="AB50" s="53"/>
      <c r="AC50" s="53"/>
      <c r="AD50" s="53"/>
      <c r="AE50" s="53"/>
      <c r="AF50" s="53"/>
      <c r="AG50" s="53"/>
    </row>
    <row r="51" spans="2:33" ht="15" customHeight="1" x14ac:dyDescent="0.25">
      <c r="B51" s="135" t="str">
        <f>HYPERLINK("https://www.pbo.gov.au/elections/2025-general-election/2025-election-commitments-costings/re-phase-additional-australian-antarctic-program-funding", "ECR-2025-2667")</f>
        <v>ECR-2025-2667</v>
      </c>
      <c r="C51" s="59" t="s">
        <v>161</v>
      </c>
      <c r="D51" s="60">
        <v>3.6</v>
      </c>
      <c r="E51" s="60">
        <v>14.2</v>
      </c>
      <c r="F51" s="60">
        <v>12.2</v>
      </c>
      <c r="G51" s="60">
        <v>12.9</v>
      </c>
      <c r="H51" s="60">
        <v>8</v>
      </c>
      <c r="I51" s="60">
        <v>7.1</v>
      </c>
      <c r="J51" s="60">
        <v>7.4</v>
      </c>
      <c r="K51" s="60">
        <v>6.1</v>
      </c>
      <c r="L51" s="60">
        <v>-35.700000000000003</v>
      </c>
      <c r="M51" s="60">
        <v>-35.799999999999997</v>
      </c>
      <c r="N51" s="60">
        <v>0</v>
      </c>
      <c r="O51" s="60">
        <v>42.9</v>
      </c>
      <c r="P51" s="60">
        <v>0</v>
      </c>
      <c r="Q51" s="61"/>
      <c r="R51" s="61"/>
      <c r="S51" s="59" t="s">
        <v>261</v>
      </c>
      <c r="U51" s="53"/>
      <c r="V51" s="53"/>
      <c r="W51" s="53"/>
      <c r="X51" s="53"/>
      <c r="Y51" s="53"/>
      <c r="Z51" s="53"/>
      <c r="AA51" s="53"/>
      <c r="AB51" s="53"/>
      <c r="AC51" s="53"/>
      <c r="AD51" s="53"/>
      <c r="AE51" s="53"/>
      <c r="AF51" s="53"/>
      <c r="AG51" s="53"/>
    </row>
    <row r="52" spans="2:33" ht="15" customHeight="1" x14ac:dyDescent="0.25">
      <c r="B52" s="135" t="str">
        <f>HYPERLINK("https://www.pbo.gov.au/elections/2025-general-election/2025-election-commitments-costings/Replace-biosecurity-protection-levy-import-container-levy", "ECR-2025-2835")</f>
        <v>ECR-2025-2835</v>
      </c>
      <c r="C52" s="59" t="s">
        <v>248</v>
      </c>
      <c r="D52" s="60">
        <v>-11.4</v>
      </c>
      <c r="E52" s="60">
        <v>-16.600000000000001</v>
      </c>
      <c r="F52" s="60">
        <v>-1</v>
      </c>
      <c r="G52" s="60">
        <v>-0.9</v>
      </c>
      <c r="H52" s="60">
        <v>0.1</v>
      </c>
      <c r="I52" s="60">
        <v>0.1</v>
      </c>
      <c r="J52" s="60">
        <v>0.1</v>
      </c>
      <c r="K52" s="60">
        <v>-0.9</v>
      </c>
      <c r="L52" s="60">
        <v>0.1</v>
      </c>
      <c r="M52" s="60">
        <v>0.1</v>
      </c>
      <c r="N52" s="60">
        <v>-0.9</v>
      </c>
      <c r="O52" s="60">
        <v>-29.9</v>
      </c>
      <c r="P52" s="60">
        <v>-31.2</v>
      </c>
      <c r="Q52" s="61"/>
      <c r="R52" s="61"/>
      <c r="S52" s="59" t="s">
        <v>306</v>
      </c>
      <c r="U52" s="53"/>
      <c r="V52" s="53"/>
      <c r="W52" s="53"/>
      <c r="X52" s="53"/>
      <c r="Y52" s="53"/>
      <c r="Z52" s="53"/>
      <c r="AA52" s="53"/>
      <c r="AB52" s="53"/>
      <c r="AC52" s="53"/>
      <c r="AD52" s="53"/>
      <c r="AE52" s="53"/>
      <c r="AF52" s="53"/>
      <c r="AG52" s="53"/>
    </row>
    <row r="53" spans="2:33" ht="15" customHeight="1" x14ac:dyDescent="0.25">
      <c r="B53" s="59" t="s">
        <v>117</v>
      </c>
      <c r="C53" s="59" t="s">
        <v>395</v>
      </c>
      <c r="D53" s="60">
        <v>0</v>
      </c>
      <c r="E53" s="60">
        <v>0</v>
      </c>
      <c r="F53" s="60">
        <v>0</v>
      </c>
      <c r="G53" s="60">
        <v>0</v>
      </c>
      <c r="H53" s="60">
        <v>0</v>
      </c>
      <c r="I53" s="60">
        <v>0</v>
      </c>
      <c r="J53" s="60">
        <v>0</v>
      </c>
      <c r="K53" s="60">
        <v>0</v>
      </c>
      <c r="L53" s="60">
        <v>0</v>
      </c>
      <c r="M53" s="60">
        <v>0</v>
      </c>
      <c r="N53" s="60">
        <v>0</v>
      </c>
      <c r="O53" s="60">
        <v>0</v>
      </c>
      <c r="P53" s="60">
        <v>0</v>
      </c>
      <c r="Q53" s="61"/>
      <c r="R53" s="61"/>
      <c r="S53" s="59" t="s">
        <v>261</v>
      </c>
      <c r="U53" s="53"/>
      <c r="V53" s="53"/>
      <c r="W53" s="53"/>
      <c r="X53" s="53"/>
      <c r="Y53" s="53"/>
      <c r="Z53" s="53"/>
      <c r="AA53" s="53"/>
      <c r="AB53" s="53"/>
      <c r="AC53" s="53"/>
      <c r="AD53" s="53"/>
      <c r="AE53" s="53"/>
      <c r="AF53" s="53"/>
      <c r="AG53" s="53"/>
    </row>
    <row r="54" spans="2:33" ht="15" customHeight="1" x14ac:dyDescent="0.25">
      <c r="B54" s="59" t="s">
        <v>114</v>
      </c>
      <c r="C54" s="59" t="s">
        <v>396</v>
      </c>
      <c r="D54" s="60">
        <v>0</v>
      </c>
      <c r="E54" s="60">
        <v>0</v>
      </c>
      <c r="F54" s="60">
        <v>0</v>
      </c>
      <c r="G54" s="60">
        <v>0</v>
      </c>
      <c r="H54" s="60">
        <v>0</v>
      </c>
      <c r="I54" s="60">
        <v>0</v>
      </c>
      <c r="J54" s="60">
        <v>0</v>
      </c>
      <c r="K54" s="60">
        <v>0</v>
      </c>
      <c r="L54" s="60">
        <v>0</v>
      </c>
      <c r="M54" s="60">
        <v>0</v>
      </c>
      <c r="N54" s="60">
        <v>0</v>
      </c>
      <c r="O54" s="60">
        <v>0</v>
      </c>
      <c r="P54" s="60">
        <v>0</v>
      </c>
      <c r="Q54" s="61"/>
      <c r="R54" s="61"/>
      <c r="S54" s="59" t="s">
        <v>300</v>
      </c>
      <c r="U54" s="53"/>
      <c r="V54" s="53"/>
      <c r="W54" s="53"/>
      <c r="X54" s="53"/>
      <c r="Y54" s="53"/>
      <c r="Z54" s="53"/>
      <c r="AA54" s="53"/>
      <c r="AB54" s="53"/>
      <c r="AC54" s="53"/>
      <c r="AD54" s="53"/>
      <c r="AE54" s="53"/>
      <c r="AF54" s="53"/>
      <c r="AG54" s="53"/>
    </row>
    <row r="55" spans="2:33" ht="15" customHeight="1" x14ac:dyDescent="0.25">
      <c r="B55" s="135" t="str">
        <f>HYPERLINK("https://www.pbo.gov.au/elections/2025-general-election/2025-election-commitments-costings/Rural%20Financial%20Counselling%20Service%20%E2%80%93%20additional%20funding", "ECR-2025-2811")</f>
        <v>ECR-2025-2811</v>
      </c>
      <c r="C55" s="59" t="s">
        <v>144</v>
      </c>
      <c r="D55" s="60">
        <v>-1.8</v>
      </c>
      <c r="E55" s="60">
        <v>0</v>
      </c>
      <c r="F55" s="60">
        <v>0</v>
      </c>
      <c r="G55" s="60">
        <v>0</v>
      </c>
      <c r="H55" s="60">
        <v>0</v>
      </c>
      <c r="I55" s="60">
        <v>0</v>
      </c>
      <c r="J55" s="60">
        <v>0</v>
      </c>
      <c r="K55" s="60">
        <v>0</v>
      </c>
      <c r="L55" s="60">
        <v>0</v>
      </c>
      <c r="M55" s="60">
        <v>0</v>
      </c>
      <c r="N55" s="60">
        <v>0</v>
      </c>
      <c r="O55" s="60">
        <v>-1.8</v>
      </c>
      <c r="P55" s="60">
        <v>-1.8</v>
      </c>
      <c r="Q55" s="61"/>
      <c r="R55" s="61"/>
      <c r="S55" s="59" t="s">
        <v>298</v>
      </c>
      <c r="U55" s="53"/>
      <c r="V55" s="53"/>
      <c r="W55" s="53"/>
      <c r="X55" s="53"/>
      <c r="Y55" s="53"/>
      <c r="Z55" s="53"/>
      <c r="AA55" s="53"/>
      <c r="AB55" s="53"/>
      <c r="AC55" s="53"/>
      <c r="AD55" s="53"/>
      <c r="AE55" s="53"/>
      <c r="AF55" s="53"/>
      <c r="AG55" s="53"/>
    </row>
    <row r="56" spans="2:33" ht="15" customHeight="1" x14ac:dyDescent="0.25">
      <c r="B56" s="135" t="str">
        <f>HYPERLINK("https://www.pbo.gov.au/elections/2025-general-election/2025-election-commitments-costings/singleton-water-security-project-support", "ECR-2025-2223")</f>
        <v>ECR-2025-2223</v>
      </c>
      <c r="C56" s="59" t="s">
        <v>150</v>
      </c>
      <c r="D56" s="60">
        <v>-3</v>
      </c>
      <c r="E56" s="60">
        <v>-3</v>
      </c>
      <c r="F56" s="60">
        <v>-3</v>
      </c>
      <c r="G56" s="60">
        <v>0</v>
      </c>
      <c r="H56" s="60">
        <v>0</v>
      </c>
      <c r="I56" s="60">
        <v>0</v>
      </c>
      <c r="J56" s="60">
        <v>0</v>
      </c>
      <c r="K56" s="60">
        <v>0</v>
      </c>
      <c r="L56" s="60">
        <v>0</v>
      </c>
      <c r="M56" s="60">
        <v>0</v>
      </c>
      <c r="N56" s="60">
        <v>0</v>
      </c>
      <c r="O56" s="60">
        <v>-9</v>
      </c>
      <c r="P56" s="60">
        <v>-9</v>
      </c>
      <c r="Q56" s="61"/>
      <c r="R56" s="61"/>
      <c r="S56" s="59" t="s">
        <v>307</v>
      </c>
      <c r="U56" s="53"/>
      <c r="V56" s="53"/>
      <c r="W56" s="53"/>
      <c r="X56" s="53"/>
      <c r="Y56" s="53"/>
      <c r="Z56" s="53"/>
      <c r="AA56" s="53"/>
      <c r="AB56" s="53"/>
      <c r="AC56" s="53"/>
      <c r="AD56" s="53"/>
      <c r="AE56" s="53"/>
      <c r="AF56" s="53"/>
      <c r="AG56" s="53"/>
    </row>
    <row r="57" spans="2:33" ht="15" customHeight="1" x14ac:dyDescent="0.25">
      <c r="B57" s="135" t="str">
        <f>HYPERLINK("https://www.pbo.gov.au/elections/2025-general-election/2025-election-commitments-costings/small-business-tax-deductibility-business-related-meal-expenses", "ECR-2025-2491")</f>
        <v>ECR-2025-2491</v>
      </c>
      <c r="C57" s="59" t="s">
        <v>232</v>
      </c>
      <c r="D57" s="60">
        <v>-80</v>
      </c>
      <c r="E57" s="60">
        <v>-133</v>
      </c>
      <c r="F57" s="60">
        <v>-63</v>
      </c>
      <c r="G57" s="60">
        <v>0</v>
      </c>
      <c r="H57" s="60">
        <v>0</v>
      </c>
      <c r="I57" s="60">
        <v>0</v>
      </c>
      <c r="J57" s="60">
        <v>0</v>
      </c>
      <c r="K57" s="60">
        <v>0</v>
      </c>
      <c r="L57" s="60">
        <v>0</v>
      </c>
      <c r="M57" s="60">
        <v>0</v>
      </c>
      <c r="N57" s="60">
        <v>0</v>
      </c>
      <c r="O57" s="60">
        <v>-276</v>
      </c>
      <c r="P57" s="60">
        <v>-276</v>
      </c>
      <c r="Q57" s="61"/>
      <c r="R57" s="61"/>
      <c r="S57" s="59" t="s">
        <v>261</v>
      </c>
      <c r="U57" s="53"/>
      <c r="V57" s="53"/>
      <c r="W57" s="53"/>
      <c r="X57" s="53"/>
      <c r="Y57" s="53"/>
      <c r="Z57" s="53"/>
      <c r="AA57" s="53"/>
      <c r="AB57" s="53"/>
      <c r="AC57" s="53"/>
      <c r="AD57" s="53"/>
      <c r="AE57" s="53"/>
      <c r="AF57" s="53"/>
      <c r="AG57" s="53"/>
    </row>
    <row r="58" spans="2:33" ht="15" customHeight="1" x14ac:dyDescent="0.25">
      <c r="B58" s="135" t="str">
        <f>HYPERLINK("https://www.pbo.gov.au/elections/2025-general-election/2025-election-commitments-costings/student-help-changes-not-proceeding", "ECR-2025-2230")</f>
        <v>ECR-2025-2230</v>
      </c>
      <c r="C58" s="59" t="s">
        <v>469</v>
      </c>
      <c r="D58" s="60">
        <v>1108.3</v>
      </c>
      <c r="E58" s="60">
        <v>1268.2</v>
      </c>
      <c r="F58" s="60">
        <v>1419.1</v>
      </c>
      <c r="G58" s="60">
        <v>1637</v>
      </c>
      <c r="H58" s="60">
        <v>1825</v>
      </c>
      <c r="I58" s="60">
        <v>1987</v>
      </c>
      <c r="J58" s="60">
        <v>2118</v>
      </c>
      <c r="K58" s="60">
        <v>2143</v>
      </c>
      <c r="L58" s="60">
        <v>2231</v>
      </c>
      <c r="M58" s="60">
        <v>2309</v>
      </c>
      <c r="N58" s="60">
        <v>2403</v>
      </c>
      <c r="O58" s="60">
        <v>6130.4</v>
      </c>
      <c r="P58" s="60">
        <v>21146.400000000001</v>
      </c>
      <c r="Q58" s="61"/>
      <c r="R58" s="61"/>
      <c r="S58" s="59" t="s">
        <v>308</v>
      </c>
      <c r="U58" s="53"/>
      <c r="V58" s="53"/>
      <c r="W58" s="53"/>
      <c r="X58" s="53"/>
      <c r="Y58" s="53"/>
      <c r="Z58" s="53"/>
      <c r="AA58" s="53"/>
      <c r="AB58" s="53"/>
      <c r="AC58" s="53"/>
      <c r="AD58" s="53"/>
      <c r="AE58" s="53"/>
      <c r="AF58" s="53"/>
      <c r="AG58" s="53"/>
    </row>
    <row r="59" spans="2:33" ht="15" customHeight="1" x14ac:dyDescent="0.25">
      <c r="B59" s="135" t="str">
        <f>HYPERLINK("https://www.pbo.gov.au/elections/2025-general-election/2025-election-commitments-costings/Student-visa-work-hours-increase", "ECR-2025-2848")</f>
        <v>ECR-2025-2848</v>
      </c>
      <c r="C59" s="59" t="s">
        <v>448</v>
      </c>
      <c r="D59" s="60">
        <v>0</v>
      </c>
      <c r="E59" s="60">
        <v>117</v>
      </c>
      <c r="F59" s="60">
        <v>110</v>
      </c>
      <c r="G59" s="60">
        <v>107</v>
      </c>
      <c r="H59" s="60">
        <v>113</v>
      </c>
      <c r="I59" s="60">
        <v>123</v>
      </c>
      <c r="J59" s="60">
        <v>135</v>
      </c>
      <c r="K59" s="60">
        <v>144</v>
      </c>
      <c r="L59" s="60">
        <v>158</v>
      </c>
      <c r="M59" s="60">
        <v>184</v>
      </c>
      <c r="N59" s="60">
        <v>212</v>
      </c>
      <c r="O59" s="60">
        <v>334</v>
      </c>
      <c r="P59" s="60">
        <v>1403</v>
      </c>
      <c r="Q59" s="61"/>
      <c r="R59" s="61"/>
      <c r="S59" s="59" t="s">
        <v>291</v>
      </c>
      <c r="U59" s="53"/>
      <c r="V59" s="53"/>
      <c r="W59" s="53"/>
      <c r="X59" s="53"/>
      <c r="Y59" s="53"/>
      <c r="Z59" s="53"/>
      <c r="AA59" s="53"/>
      <c r="AB59" s="53"/>
      <c r="AC59" s="53"/>
      <c r="AD59" s="53"/>
      <c r="AE59" s="53"/>
      <c r="AF59" s="53"/>
      <c r="AG59" s="53"/>
    </row>
    <row r="60" spans="2:33" ht="15" customHeight="1" x14ac:dyDescent="0.25">
      <c r="B60" s="135" t="str">
        <f>HYPERLINK("https://www.pbo.gov.au/elections/2025-general-election/2025-election-commitments-costings/tasmanian-freight-equalisation-scheme-resourcing", "ECR-2025-2781")</f>
        <v>ECR-2025-2781</v>
      </c>
      <c r="C60" s="59" t="s">
        <v>233</v>
      </c>
      <c r="D60" s="60">
        <v>-13</v>
      </c>
      <c r="E60" s="60">
        <v>47</v>
      </c>
      <c r="F60" s="60">
        <v>0</v>
      </c>
      <c r="G60" s="60">
        <v>0</v>
      </c>
      <c r="H60" s="60">
        <v>0</v>
      </c>
      <c r="I60" s="60">
        <v>0</v>
      </c>
      <c r="J60" s="60">
        <v>0</v>
      </c>
      <c r="K60" s="60">
        <v>0</v>
      </c>
      <c r="L60" s="60">
        <v>0</v>
      </c>
      <c r="M60" s="60">
        <v>0</v>
      </c>
      <c r="N60" s="60">
        <v>0</v>
      </c>
      <c r="O60" s="60">
        <v>34</v>
      </c>
      <c r="P60" s="60">
        <v>34</v>
      </c>
      <c r="Q60" s="61"/>
      <c r="R60" s="61"/>
      <c r="S60" s="59" t="s">
        <v>309</v>
      </c>
      <c r="U60" s="53"/>
      <c r="V60" s="53"/>
      <c r="W60" s="53"/>
      <c r="X60" s="53"/>
      <c r="Y60" s="53"/>
      <c r="Z60" s="53"/>
      <c r="AA60" s="53"/>
      <c r="AB60" s="53"/>
      <c r="AC60" s="53"/>
      <c r="AD60" s="53"/>
      <c r="AE60" s="53"/>
      <c r="AF60" s="53"/>
      <c r="AG60" s="53"/>
    </row>
    <row r="61" spans="2:33" ht="15" customHeight="1" x14ac:dyDescent="0.25">
      <c r="B61" s="135" t="str">
        <f>HYPERLINK("https://www.pbo.gov.au/elections/2025-general-election/2025-election-commitments-costings/Tax%20breaks%20for%20electric%20vehicle%20%E2%80%93%20reverse", "ECR-2025-2045")</f>
        <v>ECR-2025-2045</v>
      </c>
      <c r="C61" s="59" t="s">
        <v>422</v>
      </c>
      <c r="D61" s="60">
        <v>285</v>
      </c>
      <c r="E61" s="60">
        <v>623</v>
      </c>
      <c r="F61" s="60">
        <v>945</v>
      </c>
      <c r="G61" s="60">
        <v>1319</v>
      </c>
      <c r="H61" s="60">
        <v>1664</v>
      </c>
      <c r="I61" s="60">
        <v>2000</v>
      </c>
      <c r="J61" s="60">
        <v>2426</v>
      </c>
      <c r="K61" s="60">
        <v>2848</v>
      </c>
      <c r="L61" s="60">
        <v>3316</v>
      </c>
      <c r="M61" s="60">
        <v>3774</v>
      </c>
      <c r="N61" s="60">
        <v>4247</v>
      </c>
      <c r="O61" s="60">
        <v>3172</v>
      </c>
      <c r="P61" s="60">
        <v>23447</v>
      </c>
      <c r="Q61" s="61"/>
      <c r="R61" s="61"/>
      <c r="S61" s="59" t="s">
        <v>261</v>
      </c>
      <c r="U61" s="53"/>
      <c r="V61" s="53"/>
      <c r="W61" s="53"/>
      <c r="X61" s="53"/>
      <c r="Y61" s="53"/>
      <c r="Z61" s="53"/>
      <c r="AA61" s="53"/>
      <c r="AB61" s="53"/>
      <c r="AC61" s="53"/>
      <c r="AD61" s="53"/>
      <c r="AE61" s="53"/>
      <c r="AF61" s="53"/>
      <c r="AG61" s="53"/>
    </row>
    <row r="62" spans="2:33" ht="15" customHeight="1" x14ac:dyDescent="0.25">
      <c r="B62" s="135" t="str">
        <f>HYPERLINK("https://www.pbo.gov.au/elections/2025-general-election/2025-election-commitments-costings/Tax-unrealised-capital-gains-do-not-proceed", "ECR-2025-2011")</f>
        <v>ECR-2025-2011</v>
      </c>
      <c r="C62" s="59" t="s">
        <v>371</v>
      </c>
      <c r="D62" s="60">
        <v>-314</v>
      </c>
      <c r="E62" s="60">
        <v>-619.20000000000005</v>
      </c>
      <c r="F62" s="60">
        <v>-2226.6</v>
      </c>
      <c r="G62" s="60">
        <v>-2677.5</v>
      </c>
      <c r="H62" s="60">
        <v>-3187.7</v>
      </c>
      <c r="I62" s="60">
        <v>-3747.7</v>
      </c>
      <c r="J62" s="60">
        <v>-4377.7</v>
      </c>
      <c r="K62" s="60">
        <v>-5117.7</v>
      </c>
      <c r="L62" s="60">
        <v>-5967.7</v>
      </c>
      <c r="M62" s="60">
        <v>-6967.7</v>
      </c>
      <c r="N62" s="60">
        <v>-8137.7</v>
      </c>
      <c r="O62" s="60">
        <v>-5837.3</v>
      </c>
      <c r="P62" s="60">
        <v>-43341.2</v>
      </c>
      <c r="Q62" s="61"/>
      <c r="R62" s="61"/>
      <c r="S62" s="59" t="s">
        <v>261</v>
      </c>
      <c r="U62" s="53"/>
      <c r="V62" s="53"/>
      <c r="W62" s="53"/>
      <c r="X62" s="53"/>
      <c r="Y62" s="53"/>
      <c r="Z62" s="53"/>
      <c r="AA62" s="53"/>
      <c r="AB62" s="53"/>
      <c r="AC62" s="53"/>
      <c r="AD62" s="53"/>
      <c r="AE62" s="53"/>
      <c r="AF62" s="53"/>
      <c r="AG62" s="53"/>
    </row>
    <row r="63" spans="2:33" ht="15" customHeight="1" x14ac:dyDescent="0.25">
      <c r="B63" s="135" t="str">
        <f>HYPERLINK("https://www.pbo.gov.au/elections/2025-general-election/2025-election-commitments-costings/Tech%20Booster", "ECR-2025-2670")</f>
        <v>ECR-2025-2670</v>
      </c>
      <c r="C63" s="59" t="s">
        <v>219</v>
      </c>
      <c r="D63" s="60">
        <v>-3</v>
      </c>
      <c r="E63" s="60">
        <v>-42.3</v>
      </c>
      <c r="F63" s="60">
        <v>-65.8</v>
      </c>
      <c r="G63" s="60">
        <v>-29.1</v>
      </c>
      <c r="H63" s="60">
        <v>-6.5</v>
      </c>
      <c r="I63" s="60">
        <v>0</v>
      </c>
      <c r="J63" s="60">
        <v>0</v>
      </c>
      <c r="K63" s="60">
        <v>0</v>
      </c>
      <c r="L63" s="60">
        <v>0</v>
      </c>
      <c r="M63" s="60">
        <v>0</v>
      </c>
      <c r="N63" s="60">
        <v>0</v>
      </c>
      <c r="O63" s="60">
        <v>-140.19999999999999</v>
      </c>
      <c r="P63" s="60">
        <v>-146.69999999999999</v>
      </c>
      <c r="Q63" s="61"/>
      <c r="R63" s="61"/>
      <c r="S63" s="59" t="s">
        <v>266</v>
      </c>
      <c r="U63" s="53"/>
      <c r="V63" s="53"/>
      <c r="W63" s="53"/>
      <c r="X63" s="53"/>
      <c r="Y63" s="53"/>
      <c r="Z63" s="53"/>
      <c r="AA63" s="53"/>
      <c r="AB63" s="53"/>
      <c r="AC63" s="53"/>
      <c r="AD63" s="53"/>
      <c r="AE63" s="53"/>
      <c r="AF63" s="53"/>
      <c r="AG63" s="53"/>
    </row>
    <row r="64" spans="2:33" ht="15" customHeight="1" x14ac:dyDescent="0.25">
      <c r="B64" s="135" t="str">
        <f>HYPERLINK("https://www.pbo.gov.au/elections/2025-general-election/2025-election-commitments-costings/timber-manufacturing-expansion-program", "ECR-2025-2436")</f>
        <v>ECR-2025-2436</v>
      </c>
      <c r="C64" s="59" t="s">
        <v>151</v>
      </c>
      <c r="D64" s="60">
        <v>-13.4</v>
      </c>
      <c r="E64" s="60">
        <v>-13.3</v>
      </c>
      <c r="F64" s="60">
        <v>-13.3</v>
      </c>
      <c r="G64" s="60">
        <v>0</v>
      </c>
      <c r="H64" s="60">
        <v>0</v>
      </c>
      <c r="I64" s="60">
        <v>0</v>
      </c>
      <c r="J64" s="60">
        <v>0</v>
      </c>
      <c r="K64" s="60">
        <v>0</v>
      </c>
      <c r="L64" s="60">
        <v>0</v>
      </c>
      <c r="M64" s="60">
        <v>0</v>
      </c>
      <c r="N64" s="60">
        <v>0</v>
      </c>
      <c r="O64" s="60">
        <v>-40</v>
      </c>
      <c r="P64" s="60">
        <v>-40</v>
      </c>
      <c r="Q64" s="61"/>
      <c r="R64" s="61"/>
      <c r="S64" s="59" t="s">
        <v>310</v>
      </c>
      <c r="U64" s="53"/>
      <c r="V64" s="53"/>
      <c r="W64" s="53"/>
      <c r="X64" s="53"/>
      <c r="Y64" s="53"/>
      <c r="Z64" s="53"/>
      <c r="AA64" s="53"/>
      <c r="AB64" s="53"/>
      <c r="AC64" s="53"/>
      <c r="AD64" s="53"/>
      <c r="AE64" s="53"/>
      <c r="AF64" s="53"/>
      <c r="AG64" s="53"/>
    </row>
    <row r="65" spans="2:33" ht="15" customHeight="1" x14ac:dyDescent="0.25">
      <c r="B65" s="62" t="s">
        <v>376</v>
      </c>
      <c r="C65" s="62"/>
      <c r="D65" s="63">
        <v>-2544.5</v>
      </c>
      <c r="E65" s="63">
        <v>980.6</v>
      </c>
      <c r="F65" s="63">
        <v>14139.7</v>
      </c>
      <c r="G65" s="63">
        <v>18764</v>
      </c>
      <c r="H65" s="63">
        <v>21331.5</v>
      </c>
      <c r="I65" s="63">
        <v>20077.8</v>
      </c>
      <c r="J65" s="63">
        <v>20836.900000000001</v>
      </c>
      <c r="K65" s="63">
        <v>21257.1</v>
      </c>
      <c r="L65" s="63">
        <v>21707</v>
      </c>
      <c r="M65" s="63">
        <v>21992</v>
      </c>
      <c r="N65" s="63">
        <v>22225.5</v>
      </c>
      <c r="O65" s="63">
        <v>32037.599999999999</v>
      </c>
      <c r="P65" s="63">
        <v>181465.4</v>
      </c>
      <c r="Q65" s="64" t="s">
        <v>9</v>
      </c>
      <c r="R65" s="64"/>
      <c r="S65" s="62" t="s">
        <v>10</v>
      </c>
      <c r="U65" s="53"/>
      <c r="V65" s="53"/>
      <c r="W65" s="53"/>
      <c r="X65" s="53"/>
      <c r="Y65" s="53"/>
      <c r="Z65" s="53"/>
      <c r="AA65" s="53"/>
      <c r="AB65" s="53"/>
      <c r="AC65" s="53"/>
      <c r="AD65" s="53"/>
      <c r="AE65" s="53"/>
      <c r="AF65" s="53"/>
      <c r="AG65" s="53"/>
    </row>
    <row r="66" spans="2:33" ht="15" customHeight="1" x14ac:dyDescent="0.25">
      <c r="B66" s="81" t="s">
        <v>100</v>
      </c>
      <c r="C66" s="3"/>
      <c r="D66" s="55" t="s">
        <v>10</v>
      </c>
      <c r="E66" s="55" t="s">
        <v>10</v>
      </c>
      <c r="F66" s="55" t="s">
        <v>10</v>
      </c>
      <c r="G66" s="55" t="s">
        <v>10</v>
      </c>
      <c r="H66" s="55" t="s">
        <v>10</v>
      </c>
      <c r="I66" s="55" t="s">
        <v>10</v>
      </c>
      <c r="J66" s="55" t="s">
        <v>10</v>
      </c>
      <c r="K66" s="55" t="s">
        <v>10</v>
      </c>
      <c r="L66" s="55" t="s">
        <v>10</v>
      </c>
      <c r="M66" s="55" t="s">
        <v>10</v>
      </c>
      <c r="N66" s="55" t="s">
        <v>10</v>
      </c>
      <c r="O66" s="55" t="s">
        <v>10</v>
      </c>
      <c r="P66" s="55" t="s">
        <v>10</v>
      </c>
      <c r="Q66" s="4"/>
      <c r="R66" s="4"/>
      <c r="S66" s="3" t="s">
        <v>10</v>
      </c>
      <c r="U66" s="53"/>
      <c r="V66" s="53"/>
      <c r="W66" s="53"/>
      <c r="X66" s="53"/>
      <c r="Y66" s="53"/>
      <c r="Z66" s="53"/>
      <c r="AA66" s="53"/>
      <c r="AB66" s="53"/>
      <c r="AC66" s="53"/>
      <c r="AD66" s="53"/>
      <c r="AE66" s="53"/>
      <c r="AF66" s="53"/>
      <c r="AG66" s="53"/>
    </row>
    <row r="67" spans="2:33" ht="15" customHeight="1" x14ac:dyDescent="0.25">
      <c r="B67" s="135" t="s">
        <v>382</v>
      </c>
      <c r="C67" s="59" t="s">
        <v>607</v>
      </c>
      <c r="D67" s="60">
        <v>-153.69999999999999</v>
      </c>
      <c r="E67" s="60">
        <v>-224.6</v>
      </c>
      <c r="F67" s="60">
        <v>-627.79999999999995</v>
      </c>
      <c r="G67" s="60">
        <v>-1166.0999999999999</v>
      </c>
      <c r="H67" s="60">
        <v>-2435.1</v>
      </c>
      <c r="I67" s="60">
        <v>-3916.1</v>
      </c>
      <c r="J67" s="60">
        <v>-5337</v>
      </c>
      <c r="K67" s="60">
        <v>-6277.9</v>
      </c>
      <c r="L67" s="60">
        <v>-7349</v>
      </c>
      <c r="M67" s="60">
        <v>-9759.9</v>
      </c>
      <c r="N67" s="60">
        <v>-12170.8</v>
      </c>
      <c r="O67" s="60">
        <v>-2172.1999999999998</v>
      </c>
      <c r="P67" s="60">
        <v>-49418</v>
      </c>
      <c r="Q67" s="61"/>
      <c r="R67" s="61"/>
      <c r="S67" s="59" t="s">
        <v>261</v>
      </c>
      <c r="U67" s="53"/>
      <c r="V67" s="53"/>
      <c r="W67" s="53"/>
      <c r="X67" s="53"/>
      <c r="Y67" s="53"/>
      <c r="Z67" s="53"/>
      <c r="AA67" s="53"/>
      <c r="AB67" s="53"/>
      <c r="AC67" s="53"/>
      <c r="AD67" s="53"/>
      <c r="AE67" s="53"/>
      <c r="AF67" s="53"/>
      <c r="AG67" s="53"/>
    </row>
    <row r="68" spans="2:33" ht="15" customHeight="1" x14ac:dyDescent="0.25">
      <c r="B68" s="135" t="str">
        <f>HYPERLINK("https://www.pbo.gov.au/elections/2025-general-election/2025-election-commitments-costings/daintree-renewable-energy-microgrid-project-support", "ECR-2025-2715")</f>
        <v>ECR-2025-2715</v>
      </c>
      <c r="C68" s="59" t="s">
        <v>171</v>
      </c>
      <c r="D68" s="60">
        <v>-6.3</v>
      </c>
      <c r="E68" s="60">
        <v>-6.3</v>
      </c>
      <c r="F68" s="60">
        <v>-6.2</v>
      </c>
      <c r="G68" s="60">
        <v>0</v>
      </c>
      <c r="H68" s="60">
        <v>0</v>
      </c>
      <c r="I68" s="60">
        <v>0</v>
      </c>
      <c r="J68" s="60">
        <v>0</v>
      </c>
      <c r="K68" s="60">
        <v>0</v>
      </c>
      <c r="L68" s="60">
        <v>0</v>
      </c>
      <c r="M68" s="60">
        <v>0</v>
      </c>
      <c r="N68" s="60">
        <v>0</v>
      </c>
      <c r="O68" s="60">
        <v>-18.8</v>
      </c>
      <c r="P68" s="60">
        <v>-18.8</v>
      </c>
      <c r="Q68" s="61"/>
      <c r="R68" s="61"/>
      <c r="S68" s="59" t="s">
        <v>261</v>
      </c>
    </row>
    <row r="69" spans="2:33" ht="15" customHeight="1" x14ac:dyDescent="0.25">
      <c r="B69" s="135" t="str">
        <f>HYPERLINK("https://www.pbo.gov.au/elections/2025-general-election/2025-election-commitments-costings/Deliver%20a%20National%20Gas%20Plan%20%E2%80%93%20%241%20billion%20Critical%20Gas%20Infrastructure%20Fund", "ECR-2025-2455")</f>
        <v>ECR-2025-2455</v>
      </c>
      <c r="C69" s="59" t="s">
        <v>243</v>
      </c>
      <c r="D69" s="60">
        <v>-98.7</v>
      </c>
      <c r="E69" s="60">
        <v>-96.8</v>
      </c>
      <c r="F69" s="60">
        <v>-95.1</v>
      </c>
      <c r="G69" s="60">
        <v>-92.9</v>
      </c>
      <c r="H69" s="60">
        <v>-90.5</v>
      </c>
      <c r="I69" s="60">
        <v>8.9</v>
      </c>
      <c r="J69" s="60">
        <v>10.5</v>
      </c>
      <c r="K69" s="60">
        <v>12.6</v>
      </c>
      <c r="L69" s="60">
        <v>15.2</v>
      </c>
      <c r="M69" s="60">
        <v>18</v>
      </c>
      <c r="N69" s="60">
        <v>20.8</v>
      </c>
      <c r="O69" s="60">
        <v>-383.5</v>
      </c>
      <c r="P69" s="60">
        <v>-388</v>
      </c>
      <c r="Q69" s="61"/>
      <c r="R69" s="61"/>
      <c r="S69" s="59" t="s">
        <v>296</v>
      </c>
    </row>
    <row r="70" spans="2:33" ht="15" customHeight="1" x14ac:dyDescent="0.25">
      <c r="B70" s="135" t="str">
        <f>HYPERLINK("https://www.pbo.gov.au/elections/2025-general-election/2025-election-commitments-costings/Deliver%20a%20National%20Gas%20Plan%20%E2%80%93%20Strategic%20Basin%20Plan", "ECR-2025-2578")</f>
        <v>ECR-2025-2578</v>
      </c>
      <c r="C70" s="59" t="s">
        <v>631</v>
      </c>
      <c r="D70" s="60">
        <v>-58.9</v>
      </c>
      <c r="E70" s="60">
        <v>-18.600000000000001</v>
      </c>
      <c r="F70" s="60">
        <v>-36.299999999999997</v>
      </c>
      <c r="G70" s="60">
        <v>-36.299999999999997</v>
      </c>
      <c r="H70" s="60">
        <v>-150</v>
      </c>
      <c r="I70" s="60">
        <v>0</v>
      </c>
      <c r="J70" s="60">
        <v>0</v>
      </c>
      <c r="K70" s="60">
        <v>0</v>
      </c>
      <c r="L70" s="60">
        <v>0</v>
      </c>
      <c r="M70" s="60">
        <v>0</v>
      </c>
      <c r="N70" s="60">
        <v>0</v>
      </c>
      <c r="O70" s="60">
        <v>-150.1</v>
      </c>
      <c r="P70" s="60">
        <v>-300.10000000000002</v>
      </c>
      <c r="Q70" s="61"/>
      <c r="R70" s="61"/>
      <c r="S70" s="59" t="s">
        <v>261</v>
      </c>
    </row>
    <row r="71" spans="2:33" ht="15" customHeight="1" x14ac:dyDescent="0.25">
      <c r="B71" s="135" t="str">
        <f>HYPERLINK("https://www.pbo.gov.au/elections/2025-general-election/2025-election-commitments-costings/home-batteries-program-redirect", "ECR-2025-2129")</f>
        <v>ECR-2025-2129</v>
      </c>
      <c r="C71" s="59" t="s">
        <v>223</v>
      </c>
      <c r="D71" s="60">
        <v>410.5</v>
      </c>
      <c r="E71" s="60">
        <v>720.7</v>
      </c>
      <c r="F71" s="60">
        <v>613.79999999999995</v>
      </c>
      <c r="G71" s="60">
        <v>590.4</v>
      </c>
      <c r="H71" s="60">
        <v>602.4</v>
      </c>
      <c r="I71" s="60">
        <v>455.8</v>
      </c>
      <c r="J71" s="60">
        <v>148.19999999999999</v>
      </c>
      <c r="K71" s="60">
        <v>0.3</v>
      </c>
      <c r="L71" s="60">
        <v>0.3</v>
      </c>
      <c r="M71" s="60">
        <v>0.3</v>
      </c>
      <c r="N71" s="60">
        <v>0</v>
      </c>
      <c r="O71" s="60">
        <v>2335.4</v>
      </c>
      <c r="P71" s="60">
        <v>3542.7</v>
      </c>
      <c r="Q71" s="61"/>
      <c r="R71" s="61"/>
      <c r="S71" s="59" t="s">
        <v>261</v>
      </c>
    </row>
    <row r="72" spans="2:33" ht="15" customHeight="1" x14ac:dyDescent="0.25">
      <c r="B72" s="135" t="str">
        <f>HYPERLINK("https://www.pbo.gov.au/elections/2025-general-election/2025-election-commitments-costings/redirect-funding-DCCEEW", "ECR-2025-2110")</f>
        <v>ECR-2025-2110</v>
      </c>
      <c r="C72" s="59" t="s">
        <v>170</v>
      </c>
      <c r="D72" s="60">
        <v>38.1</v>
      </c>
      <c r="E72" s="60">
        <v>9.5</v>
      </c>
      <c r="F72" s="60">
        <v>0</v>
      </c>
      <c r="G72" s="60">
        <v>0</v>
      </c>
      <c r="H72" s="60">
        <v>0</v>
      </c>
      <c r="I72" s="60">
        <v>0</v>
      </c>
      <c r="J72" s="60">
        <v>0</v>
      </c>
      <c r="K72" s="60">
        <v>0</v>
      </c>
      <c r="L72" s="60">
        <v>0</v>
      </c>
      <c r="M72" s="60">
        <v>0</v>
      </c>
      <c r="N72" s="60">
        <v>0</v>
      </c>
      <c r="O72" s="60">
        <v>47.6</v>
      </c>
      <c r="P72" s="60">
        <v>47.6</v>
      </c>
      <c r="Q72" s="61"/>
      <c r="R72" s="61"/>
      <c r="S72" s="59" t="s">
        <v>261</v>
      </c>
    </row>
    <row r="73" spans="2:33" ht="15" customHeight="1" x14ac:dyDescent="0.25">
      <c r="B73" s="135" t="str">
        <f>HYPERLINK("https://www.pbo.gov.au/elections/2025-general-election/2025-election-commitments-costings/restoring-ARENA-its-original-function", "ECR-2025-2784")</f>
        <v>ECR-2025-2784</v>
      </c>
      <c r="C73" s="59" t="s">
        <v>169</v>
      </c>
      <c r="D73" s="60">
        <v>168</v>
      </c>
      <c r="E73" s="60">
        <v>272</v>
      </c>
      <c r="F73" s="60">
        <v>590</v>
      </c>
      <c r="G73" s="60">
        <v>695</v>
      </c>
      <c r="H73" s="60">
        <v>677</v>
      </c>
      <c r="I73" s="60">
        <v>671</v>
      </c>
      <c r="J73" s="60">
        <v>572</v>
      </c>
      <c r="K73" s="60">
        <v>490</v>
      </c>
      <c r="L73" s="60">
        <v>465</v>
      </c>
      <c r="M73" s="60">
        <v>265</v>
      </c>
      <c r="N73" s="60">
        <v>265</v>
      </c>
      <c r="O73" s="60">
        <v>1725</v>
      </c>
      <c r="P73" s="60">
        <v>5130</v>
      </c>
      <c r="Q73" s="61"/>
      <c r="R73" s="61"/>
      <c r="S73" s="59" t="s">
        <v>261</v>
      </c>
    </row>
    <row r="74" spans="2:33" ht="15" customHeight="1" x14ac:dyDescent="0.25">
      <c r="B74" s="135" t="str">
        <f>HYPERLINK("https://www.pbo.gov.au/elections/2025-general-election/2025-election-commitments-costings/Rewiring%20the%20Nation%20Fund%20%E2%80%93%20unwind%20and%20redirect", "ECR-2025-2173")</f>
        <v>ECR-2025-2173</v>
      </c>
      <c r="C74" s="59" t="s">
        <v>172</v>
      </c>
      <c r="D74" s="60">
        <v>335.9</v>
      </c>
      <c r="E74" s="60">
        <v>25</v>
      </c>
      <c r="F74" s="60">
        <v>25.2</v>
      </c>
      <c r="G74" s="60">
        <v>18.2</v>
      </c>
      <c r="H74" s="60">
        <v>18</v>
      </c>
      <c r="I74" s="60">
        <v>18.7</v>
      </c>
      <c r="J74" s="60">
        <v>19.600000000000001</v>
      </c>
      <c r="K74" s="60">
        <v>20.399999999999999</v>
      </c>
      <c r="L74" s="60">
        <v>21.4</v>
      </c>
      <c r="M74" s="60">
        <v>22.3</v>
      </c>
      <c r="N74" s="60">
        <v>23.5</v>
      </c>
      <c r="O74" s="60">
        <v>404.3</v>
      </c>
      <c r="P74" s="60">
        <v>548.20000000000005</v>
      </c>
      <c r="Q74" s="61"/>
      <c r="R74" s="61"/>
      <c r="S74" s="59" t="s">
        <v>261</v>
      </c>
    </row>
    <row r="75" spans="2:33" ht="15" customHeight="1" x14ac:dyDescent="0.25">
      <c r="B75" s="62" t="s">
        <v>377</v>
      </c>
      <c r="C75" s="62"/>
      <c r="D75" s="63">
        <v>634.9</v>
      </c>
      <c r="E75" s="63">
        <v>680.9</v>
      </c>
      <c r="F75" s="63">
        <v>463.6</v>
      </c>
      <c r="G75" s="63">
        <v>8.3000000000000007</v>
      </c>
      <c r="H75" s="63">
        <v>-1378.2</v>
      </c>
      <c r="I75" s="63">
        <v>-2761.7</v>
      </c>
      <c r="J75" s="63">
        <v>-4586.7</v>
      </c>
      <c r="K75" s="63">
        <v>-5754.6</v>
      </c>
      <c r="L75" s="63">
        <v>-6847.1</v>
      </c>
      <c r="M75" s="63">
        <v>-9454.2999999999993</v>
      </c>
      <c r="N75" s="63">
        <v>-11861.5</v>
      </c>
      <c r="O75" s="63">
        <v>1787.7</v>
      </c>
      <c r="P75" s="63">
        <v>-40856.400000000001</v>
      </c>
      <c r="Q75" s="64" t="s">
        <v>9</v>
      </c>
      <c r="R75" s="64"/>
      <c r="S75" s="62" t="s">
        <v>10</v>
      </c>
    </row>
    <row r="76" spans="2:33" ht="15" customHeight="1" x14ac:dyDescent="0.25">
      <c r="B76" s="81" t="s">
        <v>99</v>
      </c>
      <c r="C76" s="3"/>
      <c r="D76" s="55" t="s">
        <v>10</v>
      </c>
      <c r="E76" s="55" t="s">
        <v>10</v>
      </c>
      <c r="F76" s="55" t="s">
        <v>10</v>
      </c>
      <c r="G76" s="55" t="s">
        <v>10</v>
      </c>
      <c r="H76" s="55" t="s">
        <v>10</v>
      </c>
      <c r="I76" s="55" t="s">
        <v>10</v>
      </c>
      <c r="J76" s="55" t="s">
        <v>10</v>
      </c>
      <c r="K76" s="55" t="s">
        <v>10</v>
      </c>
      <c r="L76" s="55" t="s">
        <v>10</v>
      </c>
      <c r="M76" s="55" t="s">
        <v>10</v>
      </c>
      <c r="N76" s="55" t="s">
        <v>10</v>
      </c>
      <c r="O76" s="55" t="s">
        <v>10</v>
      </c>
      <c r="P76" s="55" t="s">
        <v>10</v>
      </c>
      <c r="Q76" s="4"/>
      <c r="R76" s="4"/>
      <c r="S76" s="3" t="s">
        <v>10</v>
      </c>
    </row>
    <row r="77" spans="2:33" ht="15" customHeight="1" x14ac:dyDescent="0.25">
      <c r="B77" s="135" t="str">
        <f>HYPERLINK("https://www.pbo.gov.au/elections/2025-general-election/2025-election-commitments-costings/agricultural-and-mining-roads-program", "ECR-2025-2368")</f>
        <v>ECR-2025-2368</v>
      </c>
      <c r="C77" s="59" t="s">
        <v>423</v>
      </c>
      <c r="D77" s="60">
        <v>-150</v>
      </c>
      <c r="E77" s="60">
        <v>-150</v>
      </c>
      <c r="F77" s="60">
        <v>-150</v>
      </c>
      <c r="G77" s="60">
        <v>-150</v>
      </c>
      <c r="H77" s="60">
        <v>0</v>
      </c>
      <c r="I77" s="60">
        <v>0</v>
      </c>
      <c r="J77" s="60">
        <v>0</v>
      </c>
      <c r="K77" s="60">
        <v>0</v>
      </c>
      <c r="L77" s="60">
        <v>0</v>
      </c>
      <c r="M77" s="60">
        <v>0</v>
      </c>
      <c r="N77" s="60">
        <v>0</v>
      </c>
      <c r="O77" s="60">
        <v>-600</v>
      </c>
      <c r="P77" s="60">
        <v>-600</v>
      </c>
      <c r="Q77" s="61"/>
      <c r="R77" s="61"/>
      <c r="S77" s="59" t="s">
        <v>261</v>
      </c>
      <c r="U77" s="53"/>
      <c r="V77" s="53"/>
      <c r="W77" s="53"/>
      <c r="X77" s="53"/>
      <c r="Y77" s="53"/>
      <c r="Z77" s="53"/>
      <c r="AA77" s="53"/>
      <c r="AB77" s="53"/>
      <c r="AC77" s="53"/>
      <c r="AD77" s="53"/>
      <c r="AE77" s="53"/>
      <c r="AF77" s="53"/>
      <c r="AG77" s="53"/>
    </row>
    <row r="78" spans="2:33" ht="15" customHeight="1" x14ac:dyDescent="0.25">
      <c r="B78" s="135" t="str">
        <f>HYPERLINK("https://www.pbo.gov.au/elections/2025-general-election/2025-election-commitments-costings/Better-transport-and-telecommunications-infrastructure", "ECR-2025-2328")</f>
        <v>ECR-2025-2328</v>
      </c>
      <c r="C78" s="59" t="s">
        <v>252</v>
      </c>
      <c r="D78" s="60">
        <v>-130.19999999999999</v>
      </c>
      <c r="E78" s="60">
        <v>-418.2</v>
      </c>
      <c r="F78" s="60">
        <v>-531</v>
      </c>
      <c r="G78" s="60">
        <v>-342.3</v>
      </c>
      <c r="H78" s="60">
        <v>-181.4</v>
      </c>
      <c r="I78" s="60">
        <v>-82</v>
      </c>
      <c r="J78" s="60">
        <v>-70.7</v>
      </c>
      <c r="K78" s="60">
        <v>-8.4</v>
      </c>
      <c r="L78" s="60">
        <v>0</v>
      </c>
      <c r="M78" s="60">
        <v>0</v>
      </c>
      <c r="N78" s="60">
        <v>0</v>
      </c>
      <c r="O78" s="60">
        <v>-1421.7</v>
      </c>
      <c r="P78" s="60">
        <v>-1764.2</v>
      </c>
      <c r="Q78" s="61"/>
      <c r="R78" s="61"/>
      <c r="S78" s="59" t="s">
        <v>318</v>
      </c>
      <c r="U78" s="53"/>
      <c r="V78" s="53"/>
      <c r="W78" s="53"/>
      <c r="X78" s="53"/>
      <c r="Y78" s="53"/>
      <c r="Z78" s="53"/>
      <c r="AA78" s="53"/>
      <c r="AB78" s="53"/>
      <c r="AC78" s="53"/>
      <c r="AD78" s="53"/>
      <c r="AE78" s="53"/>
      <c r="AF78" s="53"/>
      <c r="AG78" s="53"/>
    </row>
    <row r="79" spans="2:33" ht="15" customHeight="1" x14ac:dyDescent="0.25">
      <c r="B79" s="135" t="str">
        <f>HYPERLINK("https://www.pbo.gov.au/elections/2025-general-election/2025-election-commitments-costings/Build%20to%20Rent%20Tax%20Changes%20-%20reverse", "ECR-2025-2083")</f>
        <v>ECR-2025-2083</v>
      </c>
      <c r="C79" s="59" t="s">
        <v>362</v>
      </c>
      <c r="D79" s="60">
        <v>10</v>
      </c>
      <c r="E79" s="60">
        <v>20</v>
      </c>
      <c r="F79" s="60">
        <v>30</v>
      </c>
      <c r="G79" s="60">
        <v>50</v>
      </c>
      <c r="H79" s="60">
        <v>60</v>
      </c>
      <c r="I79" s="60">
        <v>70</v>
      </c>
      <c r="J79" s="60">
        <v>90</v>
      </c>
      <c r="K79" s="60">
        <v>100</v>
      </c>
      <c r="L79" s="60">
        <v>110</v>
      </c>
      <c r="M79" s="60">
        <v>140</v>
      </c>
      <c r="N79" s="60">
        <v>150</v>
      </c>
      <c r="O79" s="60">
        <v>110</v>
      </c>
      <c r="P79" s="60">
        <v>830</v>
      </c>
      <c r="Q79" s="64"/>
      <c r="R79" s="64"/>
      <c r="S79" s="59" t="s">
        <v>261</v>
      </c>
      <c r="U79" s="53"/>
      <c r="V79" s="53"/>
      <c r="W79" s="53"/>
      <c r="X79" s="53"/>
      <c r="Y79" s="53"/>
      <c r="Z79" s="53"/>
      <c r="AA79" s="53"/>
      <c r="AB79" s="53"/>
      <c r="AC79" s="53"/>
      <c r="AD79" s="53"/>
      <c r="AE79" s="53"/>
      <c r="AF79" s="53"/>
      <c r="AG79" s="53"/>
    </row>
    <row r="80" spans="2:33" ht="15" customHeight="1" x14ac:dyDescent="0.25">
      <c r="B80" s="135" t="str">
        <f>HYPERLINK("https://www.pbo.gov.au/elections/2025-general-election/2025-election-commitments-costings/building-better-regions-fund", "ECR-2025-2579")</f>
        <v>ECR-2025-2579</v>
      </c>
      <c r="C80" s="59" t="s">
        <v>166</v>
      </c>
      <c r="D80" s="60">
        <v>-125</v>
      </c>
      <c r="E80" s="60">
        <v>-125</v>
      </c>
      <c r="F80" s="60">
        <v>0</v>
      </c>
      <c r="G80" s="60">
        <v>0</v>
      </c>
      <c r="H80" s="60">
        <v>0</v>
      </c>
      <c r="I80" s="60">
        <v>0</v>
      </c>
      <c r="J80" s="60">
        <v>0</v>
      </c>
      <c r="K80" s="60">
        <v>0</v>
      </c>
      <c r="L80" s="60">
        <v>0</v>
      </c>
      <c r="M80" s="60">
        <v>0</v>
      </c>
      <c r="N80" s="60">
        <v>0</v>
      </c>
      <c r="O80" s="60">
        <v>-250</v>
      </c>
      <c r="P80" s="60">
        <v>-250</v>
      </c>
      <c r="Q80" s="64"/>
      <c r="R80" s="64"/>
      <c r="S80" s="59" t="s">
        <v>319</v>
      </c>
      <c r="U80" s="53"/>
      <c r="V80" s="53"/>
      <c r="W80" s="53"/>
      <c r="X80" s="53"/>
      <c r="Y80" s="53"/>
      <c r="Z80" s="53"/>
      <c r="AA80" s="53"/>
      <c r="AB80" s="53"/>
      <c r="AC80" s="53"/>
      <c r="AD80" s="53"/>
      <c r="AE80" s="53"/>
      <c r="AF80" s="53"/>
      <c r="AG80" s="53"/>
    </row>
    <row r="81" spans="2:33" ht="15" customHeight="1" x14ac:dyDescent="0.25">
      <c r="B81" s="135" t="str">
        <f>HYPERLINK("https://www.pbo.gov.au/elections/2025-general-election/2025-election-commitments-costings/canberra-entertainment-infrastructure-redirect", "ECR-2025-2075")</f>
        <v>ECR-2025-2075</v>
      </c>
      <c r="C81" s="59" t="s">
        <v>209</v>
      </c>
      <c r="D81" s="60">
        <v>12.6</v>
      </c>
      <c r="E81" s="60">
        <v>13</v>
      </c>
      <c r="F81" s="60">
        <v>28</v>
      </c>
      <c r="G81" s="60">
        <v>48.4</v>
      </c>
      <c r="H81" s="60">
        <v>0</v>
      </c>
      <c r="I81" s="60">
        <v>0</v>
      </c>
      <c r="J81" s="60">
        <v>0</v>
      </c>
      <c r="K81" s="60">
        <v>0</v>
      </c>
      <c r="L81" s="60">
        <v>0</v>
      </c>
      <c r="M81" s="60">
        <v>0</v>
      </c>
      <c r="N81" s="60">
        <v>0</v>
      </c>
      <c r="O81" s="60">
        <v>102</v>
      </c>
      <c r="P81" s="60">
        <v>102</v>
      </c>
      <c r="Q81" s="61"/>
      <c r="R81" s="61"/>
      <c r="S81" s="59" t="s">
        <v>261</v>
      </c>
      <c r="U81" s="53"/>
      <c r="V81" s="53"/>
      <c r="W81" s="53"/>
      <c r="X81" s="53"/>
      <c r="Y81" s="53"/>
      <c r="Z81" s="53"/>
      <c r="AA81" s="53"/>
      <c r="AB81" s="53"/>
      <c r="AC81" s="53"/>
      <c r="AD81" s="53"/>
      <c r="AE81" s="53"/>
      <c r="AF81" s="53"/>
      <c r="AG81" s="53"/>
    </row>
    <row r="82" spans="2:33" ht="15" customHeight="1" x14ac:dyDescent="0.25">
      <c r="B82" s="59" t="s">
        <v>120</v>
      </c>
      <c r="C82" s="59" t="s">
        <v>397</v>
      </c>
      <c r="D82" s="60">
        <v>0</v>
      </c>
      <c r="E82" s="60">
        <v>0</v>
      </c>
      <c r="F82" s="60">
        <v>0</v>
      </c>
      <c r="G82" s="60">
        <v>0</v>
      </c>
      <c r="H82" s="60">
        <v>0</v>
      </c>
      <c r="I82" s="60">
        <v>0</v>
      </c>
      <c r="J82" s="60">
        <v>0</v>
      </c>
      <c r="K82" s="60">
        <v>0</v>
      </c>
      <c r="L82" s="60">
        <v>0</v>
      </c>
      <c r="M82" s="60">
        <v>0</v>
      </c>
      <c r="N82" s="60">
        <v>0</v>
      </c>
      <c r="O82" s="60">
        <v>0</v>
      </c>
      <c r="P82" s="60">
        <v>0</v>
      </c>
      <c r="Q82" s="61"/>
      <c r="R82" s="61"/>
      <c r="S82" s="59" t="s">
        <v>261</v>
      </c>
      <c r="U82" s="53"/>
      <c r="V82" s="53"/>
      <c r="W82" s="53"/>
      <c r="X82" s="53"/>
      <c r="Y82" s="53"/>
      <c r="Z82" s="53"/>
      <c r="AA82" s="53"/>
      <c r="AB82" s="53"/>
      <c r="AC82" s="53"/>
      <c r="AD82" s="53"/>
      <c r="AE82" s="53"/>
      <c r="AF82" s="53"/>
      <c r="AG82" s="53"/>
    </row>
    <row r="83" spans="2:33" ht="15" customHeight="1" x14ac:dyDescent="0.25">
      <c r="B83" s="135" t="str">
        <f>HYPERLINK("https://www.pbo.gov.au/elections/2025-general-election/2025-election-commitments-costings/Establishing%2012%20new%20Australian%20Technical%20Colleges", "ECR-2025-2067")</f>
        <v>ECR-2025-2067</v>
      </c>
      <c r="C83" s="59" t="s">
        <v>424</v>
      </c>
      <c r="D83" s="60">
        <v>-125.8</v>
      </c>
      <c r="E83" s="60">
        <v>-130.19999999999999</v>
      </c>
      <c r="F83" s="60">
        <v>-2.2999999999999998</v>
      </c>
      <c r="G83" s="60">
        <v>-2.4</v>
      </c>
      <c r="H83" s="60">
        <v>-2.5</v>
      </c>
      <c r="I83" s="60">
        <v>-2.6</v>
      </c>
      <c r="J83" s="60">
        <v>-2.6</v>
      </c>
      <c r="K83" s="60">
        <v>-2.7</v>
      </c>
      <c r="L83" s="60">
        <v>-2.8</v>
      </c>
      <c r="M83" s="60">
        <v>-2.9</v>
      </c>
      <c r="N83" s="60">
        <v>-3</v>
      </c>
      <c r="O83" s="60">
        <v>-260.7</v>
      </c>
      <c r="P83" s="60">
        <v>-279.8</v>
      </c>
      <c r="Q83" s="61"/>
      <c r="R83" s="61"/>
      <c r="S83" s="59" t="s">
        <v>320</v>
      </c>
      <c r="U83" s="53"/>
      <c r="V83" s="53"/>
      <c r="W83" s="53"/>
      <c r="X83" s="53"/>
      <c r="Y83" s="53"/>
      <c r="Z83" s="53"/>
      <c r="AA83" s="53"/>
      <c r="AB83" s="53"/>
      <c r="AC83" s="53"/>
      <c r="AD83" s="53"/>
      <c r="AE83" s="53"/>
      <c r="AF83" s="53"/>
      <c r="AG83" s="53"/>
    </row>
    <row r="84" spans="2:33" ht="15" customHeight="1" x14ac:dyDescent="0.25">
      <c r="B84" s="135" t="str">
        <f>HYPERLINK("https://www.pbo.gov.au/elections/2025-general-election/2025-election-commitments-costings/Fee%20free%20TAFE%20%E2%80%93%20redirect", "ECR-2025-2120")</f>
        <v>ECR-2025-2120</v>
      </c>
      <c r="C84" s="59" t="s">
        <v>425</v>
      </c>
      <c r="D84" s="60">
        <v>0</v>
      </c>
      <c r="E84" s="60">
        <v>83</v>
      </c>
      <c r="F84" s="60">
        <v>171</v>
      </c>
      <c r="G84" s="60">
        <v>177</v>
      </c>
      <c r="H84" s="60">
        <v>183</v>
      </c>
      <c r="I84" s="60">
        <v>189</v>
      </c>
      <c r="J84" s="60">
        <v>196</v>
      </c>
      <c r="K84" s="60">
        <v>202</v>
      </c>
      <c r="L84" s="60">
        <v>209</v>
      </c>
      <c r="M84" s="60">
        <v>216</v>
      </c>
      <c r="N84" s="60">
        <v>223</v>
      </c>
      <c r="O84" s="60">
        <v>431</v>
      </c>
      <c r="P84" s="60">
        <v>1849</v>
      </c>
      <c r="Q84" s="61"/>
      <c r="R84" s="61"/>
      <c r="S84" s="59" t="s">
        <v>261</v>
      </c>
      <c r="U84" s="53"/>
      <c r="V84" s="53"/>
      <c r="W84" s="53"/>
      <c r="X84" s="53"/>
      <c r="Y84" s="53"/>
      <c r="Z84" s="53"/>
      <c r="AA84" s="53"/>
      <c r="AB84" s="53"/>
      <c r="AC84" s="53"/>
      <c r="AD84" s="53"/>
      <c r="AE84" s="53"/>
      <c r="AF84" s="53"/>
      <c r="AG84" s="53"/>
    </row>
    <row r="85" spans="2:33" ht="15" customHeight="1" x14ac:dyDescent="0.25">
      <c r="B85" s="135" t="str">
        <f>HYPERLINK("https://www.pbo.gov.au/elections/2025-general-election/2025-election-commitments-costings/First%20Home%20Buyer%20Mortgage%20Tax%20Deductibility%20Scheme", "ECR-2025-2072")</f>
        <v>ECR-2025-2072</v>
      </c>
      <c r="C85" s="59" t="s">
        <v>253</v>
      </c>
      <c r="D85" s="60">
        <v>-7.3</v>
      </c>
      <c r="E85" s="60">
        <v>-195.9</v>
      </c>
      <c r="F85" s="60">
        <v>-595.4</v>
      </c>
      <c r="G85" s="60">
        <v>-973.2</v>
      </c>
      <c r="H85" s="60">
        <v>-1213.3</v>
      </c>
      <c r="I85" s="60">
        <v>-1433.3</v>
      </c>
      <c r="J85" s="60">
        <v>-1633.3</v>
      </c>
      <c r="K85" s="60">
        <v>-1723.4</v>
      </c>
      <c r="L85" s="60">
        <v>-1813.4</v>
      </c>
      <c r="M85" s="60">
        <v>-1893.5</v>
      </c>
      <c r="N85" s="60">
        <v>-1933.5</v>
      </c>
      <c r="O85" s="60">
        <v>-1771.8</v>
      </c>
      <c r="P85" s="60">
        <v>-13415.5</v>
      </c>
      <c r="Q85" s="64"/>
      <c r="R85" s="64"/>
      <c r="S85" s="59" t="s">
        <v>321</v>
      </c>
      <c r="U85" s="53"/>
      <c r="V85" s="53"/>
      <c r="W85" s="53"/>
      <c r="X85" s="53"/>
      <c r="Y85" s="53"/>
      <c r="Z85" s="53"/>
      <c r="AA85" s="53"/>
      <c r="AB85" s="53"/>
      <c r="AC85" s="53"/>
      <c r="AD85" s="53"/>
      <c r="AE85" s="53"/>
      <c r="AF85" s="53"/>
      <c r="AG85" s="53"/>
    </row>
    <row r="86" spans="2:33" ht="15" customHeight="1" x14ac:dyDescent="0.25">
      <c r="B86" s="135" t="str">
        <f>HYPERLINK("https://www.pbo.gov.au/elections/2025-general-election/2025-election-commitments-costings/help-buy-scheme-reverse", "ECR-2025-2213")</f>
        <v>ECR-2025-2213</v>
      </c>
      <c r="C86" s="59" t="s">
        <v>242</v>
      </c>
      <c r="D86" s="60">
        <v>1347</v>
      </c>
      <c r="E86" s="60">
        <v>1663.1</v>
      </c>
      <c r="F86" s="60">
        <v>1736.2</v>
      </c>
      <c r="G86" s="60">
        <v>1812.4</v>
      </c>
      <c r="H86" s="60">
        <v>551.5</v>
      </c>
      <c r="I86" s="60">
        <v>318.60000000000002</v>
      </c>
      <c r="J86" s="60">
        <v>334.7</v>
      </c>
      <c r="K86" s="60">
        <v>349.9</v>
      </c>
      <c r="L86" s="60">
        <v>138</v>
      </c>
      <c r="M86" s="60">
        <v>163.1</v>
      </c>
      <c r="N86" s="60">
        <v>151.30000000000001</v>
      </c>
      <c r="O86" s="60">
        <v>6558.7</v>
      </c>
      <c r="P86" s="60">
        <v>8565.7999999999993</v>
      </c>
      <c r="Q86" s="64"/>
      <c r="R86" s="64"/>
      <c r="S86" s="59" t="s">
        <v>261</v>
      </c>
      <c r="U86" s="53"/>
      <c r="V86" s="53"/>
      <c r="W86" s="53"/>
      <c r="X86" s="53"/>
      <c r="Y86" s="53"/>
      <c r="Z86" s="53"/>
      <c r="AA86" s="53"/>
      <c r="AB86" s="53"/>
      <c r="AC86" s="53"/>
      <c r="AD86" s="53"/>
      <c r="AE86" s="53"/>
      <c r="AF86" s="53"/>
      <c r="AG86" s="53"/>
    </row>
    <row r="87" spans="2:33" ht="15" customHeight="1" x14ac:dyDescent="0.25">
      <c r="B87" s="135" t="str">
        <f>HYPERLINK("https://www.pbo.gov.au/elections/2025-general-election/2025-election-commitments-costings/home-guarantee-scheme-expanding-access", "ECR-2025-2109")</f>
        <v>ECR-2025-2109</v>
      </c>
      <c r="C87" s="59" t="s">
        <v>206</v>
      </c>
      <c r="D87" s="60">
        <v>0</v>
      </c>
      <c r="E87" s="60">
        <v>-0.1</v>
      </c>
      <c r="F87" s="60">
        <v>-2.2000000000000002</v>
      </c>
      <c r="G87" s="60">
        <v>-8.5</v>
      </c>
      <c r="H87" s="60">
        <v>-16.399999999999999</v>
      </c>
      <c r="I87" s="60">
        <v>-19.7</v>
      </c>
      <c r="J87" s="60">
        <v>-20.7</v>
      </c>
      <c r="K87" s="60">
        <v>-22.8</v>
      </c>
      <c r="L87" s="60">
        <v>-25</v>
      </c>
      <c r="M87" s="60">
        <v>-26.1</v>
      </c>
      <c r="N87" s="60">
        <v>-26.3</v>
      </c>
      <c r="O87" s="60">
        <v>-10.8</v>
      </c>
      <c r="P87" s="60">
        <v>-167.8</v>
      </c>
      <c r="Q87" s="61"/>
      <c r="R87" s="61"/>
      <c r="S87" s="59" t="s">
        <v>261</v>
      </c>
      <c r="U87" s="53"/>
      <c r="V87" s="53"/>
      <c r="W87" s="53"/>
      <c r="X87" s="53"/>
      <c r="Y87" s="53"/>
      <c r="Z87" s="53"/>
      <c r="AA87" s="53"/>
      <c r="AB87" s="53"/>
      <c r="AC87" s="53"/>
      <c r="AD87" s="53"/>
      <c r="AE87" s="53"/>
      <c r="AF87" s="53"/>
      <c r="AG87" s="53"/>
    </row>
    <row r="88" spans="2:33" ht="15" customHeight="1" x14ac:dyDescent="0.25">
      <c r="B88" s="135" t="str">
        <f>HYPERLINK("https://www.pbo.gov.au/elections/2025-general-election/2025-election-commitments-costings/housing-australia-future-fund-unwind", "ECR-2025-2184")</f>
        <v>ECR-2025-2184</v>
      </c>
      <c r="C88" s="59" t="s">
        <v>168</v>
      </c>
      <c r="D88" s="60">
        <v>460.9</v>
      </c>
      <c r="E88" s="60">
        <v>648.1</v>
      </c>
      <c r="F88" s="60">
        <v>678.1</v>
      </c>
      <c r="G88" s="60">
        <v>703.2</v>
      </c>
      <c r="H88" s="60">
        <v>746.2</v>
      </c>
      <c r="I88" s="60">
        <v>792.2</v>
      </c>
      <c r="J88" s="60">
        <v>841.2</v>
      </c>
      <c r="K88" s="60">
        <v>895.1</v>
      </c>
      <c r="L88" s="60">
        <v>951</v>
      </c>
      <c r="M88" s="60">
        <v>1010.8</v>
      </c>
      <c r="N88" s="60">
        <v>1085.5</v>
      </c>
      <c r="O88" s="60">
        <v>2490.3000000000002</v>
      </c>
      <c r="P88" s="60">
        <v>8812.2999999999993</v>
      </c>
      <c r="Q88" s="61"/>
      <c r="R88" s="61"/>
      <c r="S88" s="59" t="s">
        <v>322</v>
      </c>
      <c r="U88" s="53"/>
      <c r="V88" s="53"/>
      <c r="W88" s="53"/>
      <c r="X88" s="53"/>
      <c r="Y88" s="53"/>
      <c r="Z88" s="53"/>
      <c r="AA88" s="53"/>
      <c r="AB88" s="53"/>
      <c r="AC88" s="53"/>
      <c r="AD88" s="53"/>
      <c r="AE88" s="53"/>
      <c r="AF88" s="53"/>
      <c r="AG88" s="53"/>
    </row>
    <row r="89" spans="2:33" ht="15" customHeight="1" x14ac:dyDescent="0.25">
      <c r="B89" s="135" t="str">
        <f>HYPERLINK("https://www.pbo.gov.au/elections/2025-general-election/2025-election-commitments-costings/housing-infrastructure-program", "ECR-2025-2862")</f>
        <v>ECR-2025-2862</v>
      </c>
      <c r="C89" s="59" t="s">
        <v>212</v>
      </c>
      <c r="D89" s="60">
        <v>-569</v>
      </c>
      <c r="E89" s="60">
        <v>-1064.0999999999999</v>
      </c>
      <c r="F89" s="60">
        <v>-962.7</v>
      </c>
      <c r="G89" s="60">
        <v>-920.1</v>
      </c>
      <c r="H89" s="60">
        <v>-363.1</v>
      </c>
      <c r="I89" s="60">
        <v>129.5</v>
      </c>
      <c r="J89" s="60">
        <v>8.6999999999999993</v>
      </c>
      <c r="K89" s="60">
        <v>-54.2</v>
      </c>
      <c r="L89" s="60">
        <v>-72</v>
      </c>
      <c r="M89" s="60">
        <v>-86.1</v>
      </c>
      <c r="N89" s="60">
        <v>-95</v>
      </c>
      <c r="O89" s="60">
        <v>-3515.9</v>
      </c>
      <c r="P89" s="60">
        <v>-4048.1</v>
      </c>
      <c r="Q89" s="61"/>
      <c r="R89" s="61"/>
      <c r="S89" s="59" t="s">
        <v>323</v>
      </c>
      <c r="U89" s="53"/>
      <c r="V89" s="53"/>
      <c r="W89" s="53"/>
      <c r="X89" s="53"/>
      <c r="Y89" s="53"/>
      <c r="Z89" s="53"/>
      <c r="AA89" s="53"/>
      <c r="AB89" s="53"/>
      <c r="AC89" s="53"/>
      <c r="AD89" s="53"/>
      <c r="AE89" s="53"/>
      <c r="AF89" s="53"/>
      <c r="AG89" s="53"/>
    </row>
    <row r="90" spans="2:33" ht="15" customHeight="1" x14ac:dyDescent="0.25">
      <c r="B90" s="135" t="str">
        <f>HYPERLINK("https://www.pbo.gov.au/elections/2025-general-election/2025-election-commitments-costings/Increase%20selected%20non-student%20visa%20charges", "ECR-2025-2242")</f>
        <v>ECR-2025-2242</v>
      </c>
      <c r="C90" s="59" t="s">
        <v>363</v>
      </c>
      <c r="D90" s="60">
        <v>109</v>
      </c>
      <c r="E90" s="60">
        <v>118</v>
      </c>
      <c r="F90" s="60">
        <v>127</v>
      </c>
      <c r="G90" s="60">
        <v>130</v>
      </c>
      <c r="H90" s="60">
        <v>133</v>
      </c>
      <c r="I90" s="60">
        <v>137</v>
      </c>
      <c r="J90" s="60">
        <v>140</v>
      </c>
      <c r="K90" s="60">
        <v>144</v>
      </c>
      <c r="L90" s="60">
        <v>147</v>
      </c>
      <c r="M90" s="60">
        <v>151</v>
      </c>
      <c r="N90" s="60">
        <v>154</v>
      </c>
      <c r="O90" s="60">
        <v>484</v>
      </c>
      <c r="P90" s="60">
        <v>1490</v>
      </c>
      <c r="Q90" s="61"/>
      <c r="R90" s="61"/>
      <c r="S90" s="59" t="s">
        <v>261</v>
      </c>
      <c r="U90" s="53"/>
      <c r="V90" s="53"/>
      <c r="W90" s="53"/>
      <c r="X90" s="53"/>
      <c r="Y90" s="53"/>
      <c r="Z90" s="53"/>
      <c r="AA90" s="53"/>
      <c r="AB90" s="53"/>
      <c r="AC90" s="53"/>
      <c r="AD90" s="53"/>
      <c r="AE90" s="53"/>
      <c r="AF90" s="53"/>
      <c r="AG90" s="53"/>
    </row>
    <row r="91" spans="2:33" ht="15" customHeight="1" x14ac:dyDescent="0.25">
      <c r="B91" s="135" t="str">
        <f>HYPERLINK("https://www.pbo.gov.au/elections/2025-general-election/2025-election-commitments-costings/Local-Roads-and-Community-Infrastructure-Program", "ECR-2025-2453")</f>
        <v>ECR-2025-2453</v>
      </c>
      <c r="C91" s="59" t="s">
        <v>241</v>
      </c>
      <c r="D91" s="60">
        <v>-400</v>
      </c>
      <c r="E91" s="60">
        <v>-400</v>
      </c>
      <c r="F91" s="60">
        <v>-200</v>
      </c>
      <c r="G91" s="60">
        <v>0</v>
      </c>
      <c r="H91" s="60">
        <v>0</v>
      </c>
      <c r="I91" s="60">
        <v>0</v>
      </c>
      <c r="J91" s="60">
        <v>0</v>
      </c>
      <c r="K91" s="60">
        <v>0</v>
      </c>
      <c r="L91" s="60">
        <v>0</v>
      </c>
      <c r="M91" s="60">
        <v>0</v>
      </c>
      <c r="N91" s="60">
        <v>0</v>
      </c>
      <c r="O91" s="60">
        <v>-1000</v>
      </c>
      <c r="P91" s="60">
        <v>-1000</v>
      </c>
      <c r="Q91" s="61"/>
      <c r="R91" s="61"/>
      <c r="S91" s="59" t="s">
        <v>324</v>
      </c>
      <c r="U91" s="53"/>
      <c r="V91" s="53"/>
      <c r="W91" s="53"/>
      <c r="X91" s="53"/>
      <c r="Y91" s="53"/>
      <c r="Z91" s="53"/>
      <c r="AA91" s="53"/>
      <c r="AB91" s="53"/>
      <c r="AC91" s="53"/>
      <c r="AD91" s="53"/>
      <c r="AE91" s="53"/>
      <c r="AF91" s="53"/>
      <c r="AG91" s="53"/>
    </row>
    <row r="92" spans="2:33" ht="15" customHeight="1" x14ac:dyDescent="0.25">
      <c r="B92" s="135" t="str">
        <f>HYPERLINK("https://www.pbo.gov.au/elections/2025-general-election/2025-election-commitments-costings/Modify%20Commonwealth%20Prac%20Payments", "ECR-2025-2599")</f>
        <v>ECR-2025-2599</v>
      </c>
      <c r="C92" s="59" t="s">
        <v>364</v>
      </c>
      <c r="D92" s="60">
        <v>1</v>
      </c>
      <c r="E92" s="60">
        <v>2.1</v>
      </c>
      <c r="F92" s="60">
        <v>2.2000000000000002</v>
      </c>
      <c r="G92" s="60">
        <v>3.3</v>
      </c>
      <c r="H92" s="60">
        <v>3.4</v>
      </c>
      <c r="I92" s="60">
        <v>3.5</v>
      </c>
      <c r="J92" s="60">
        <v>3.7</v>
      </c>
      <c r="K92" s="60">
        <v>3.8</v>
      </c>
      <c r="L92" s="60">
        <v>3</v>
      </c>
      <c r="M92" s="60">
        <v>4.0999999999999996</v>
      </c>
      <c r="N92" s="60">
        <v>3.3</v>
      </c>
      <c r="O92" s="60">
        <v>8.6</v>
      </c>
      <c r="P92" s="60">
        <v>33.4</v>
      </c>
      <c r="Q92" s="61"/>
      <c r="R92" s="61"/>
      <c r="S92" s="59" t="s">
        <v>261</v>
      </c>
      <c r="U92" s="53"/>
      <c r="V92" s="53"/>
      <c r="W92" s="53"/>
      <c r="X92" s="53"/>
      <c r="Y92" s="53"/>
      <c r="Z92" s="53"/>
      <c r="AA92" s="53"/>
      <c r="AB92" s="53"/>
      <c r="AC92" s="53"/>
      <c r="AD92" s="53"/>
      <c r="AE92" s="53"/>
      <c r="AF92" s="53"/>
      <c r="AG92" s="53"/>
    </row>
    <row r="93" spans="2:33" ht="15" customHeight="1" x14ac:dyDescent="0.25">
      <c r="B93" s="135" t="str">
        <f>HYPERLINK("https://www.pbo.gov.au/elections/2025-general-election/2025-election-commitments-costings/New%20Homes%20Bonus%20-%20reverse", "ECR-2025-2494")</f>
        <v>ECR-2025-2494</v>
      </c>
      <c r="C93" s="59" t="s">
        <v>165</v>
      </c>
      <c r="D93" s="60">
        <v>0</v>
      </c>
      <c r="E93" s="60">
        <v>0</v>
      </c>
      <c r="F93" s="60">
        <v>0</v>
      </c>
      <c r="G93" s="60">
        <v>0</v>
      </c>
      <c r="H93" s="60">
        <v>3000</v>
      </c>
      <c r="I93" s="60">
        <v>0</v>
      </c>
      <c r="J93" s="60">
        <v>0</v>
      </c>
      <c r="K93" s="60">
        <v>0</v>
      </c>
      <c r="L93" s="60">
        <v>0</v>
      </c>
      <c r="M93" s="60">
        <v>0</v>
      </c>
      <c r="N93" s="60">
        <v>0</v>
      </c>
      <c r="O93" s="60">
        <v>0</v>
      </c>
      <c r="P93" s="60">
        <v>3000</v>
      </c>
      <c r="Q93" s="61"/>
      <c r="R93" s="61"/>
      <c r="S93" s="59" t="s">
        <v>261</v>
      </c>
      <c r="U93" s="53"/>
      <c r="V93" s="53"/>
      <c r="W93" s="53"/>
      <c r="X93" s="53"/>
      <c r="Y93" s="53"/>
      <c r="Z93" s="53"/>
      <c r="AA93" s="53"/>
      <c r="AB93" s="53"/>
      <c r="AC93" s="53"/>
      <c r="AD93" s="53"/>
      <c r="AE93" s="53"/>
      <c r="AF93" s="53"/>
      <c r="AG93" s="53"/>
    </row>
    <row r="94" spans="2:33" ht="15" customHeight="1" x14ac:dyDescent="0.25">
      <c r="B94" s="135" t="str">
        <f>HYPERLINK("https://www.pbo.gov.au/elections/2025-general-election/2025-election-commitments-costings/new-overseas-student-commencements-reduction", "ECR-2025-2280")</f>
        <v>ECR-2025-2280</v>
      </c>
      <c r="C94" s="59" t="s">
        <v>365</v>
      </c>
      <c r="D94" s="60">
        <v>-27</v>
      </c>
      <c r="E94" s="60">
        <v>-97</v>
      </c>
      <c r="F94" s="60">
        <v>-152</v>
      </c>
      <c r="G94" s="60">
        <v>-167</v>
      </c>
      <c r="H94" s="60">
        <v>-180</v>
      </c>
      <c r="I94" s="60">
        <v>-193</v>
      </c>
      <c r="J94" s="60">
        <v>-206</v>
      </c>
      <c r="K94" s="60">
        <v>-220</v>
      </c>
      <c r="L94" s="60">
        <v>-235</v>
      </c>
      <c r="M94" s="60">
        <v>-251</v>
      </c>
      <c r="N94" s="60">
        <v>-268</v>
      </c>
      <c r="O94" s="60">
        <v>-443</v>
      </c>
      <c r="P94" s="60">
        <v>-1996</v>
      </c>
      <c r="Q94" s="61"/>
      <c r="R94" s="61"/>
      <c r="S94" s="59" t="s">
        <v>368</v>
      </c>
      <c r="U94" s="53"/>
      <c r="V94" s="53"/>
      <c r="W94" s="53"/>
      <c r="X94" s="53"/>
      <c r="Y94" s="53"/>
      <c r="Z94" s="53"/>
      <c r="AA94" s="53"/>
      <c r="AB94" s="53"/>
      <c r="AC94" s="53"/>
      <c r="AD94" s="53"/>
      <c r="AE94" s="53"/>
      <c r="AF94" s="53"/>
      <c r="AG94" s="53"/>
    </row>
    <row r="95" spans="2:33" ht="15" customHeight="1" x14ac:dyDescent="0.25">
      <c r="B95" s="135" t="str">
        <f>HYPERLINK("https://www.pbo.gov.au/elections/2025-general-election/2025-election-commitments-costings/Newly%20arrived%20migrant%20waiting%20period%20%E2%80%93%20rationalise%20to%205%20years", "ECR-2025-2126")</f>
        <v>ECR-2025-2126</v>
      </c>
      <c r="C95" s="59" t="s">
        <v>240</v>
      </c>
      <c r="D95" s="60">
        <v>39.4</v>
      </c>
      <c r="E95" s="60">
        <v>275.8</v>
      </c>
      <c r="F95" s="60">
        <v>712.7</v>
      </c>
      <c r="G95" s="60">
        <v>1294.0999999999999</v>
      </c>
      <c r="H95" s="60">
        <v>1862.1</v>
      </c>
      <c r="I95" s="60">
        <v>2093.6999999999998</v>
      </c>
      <c r="J95" s="60">
        <v>2030.2</v>
      </c>
      <c r="K95" s="60">
        <v>1935.7</v>
      </c>
      <c r="L95" s="60">
        <v>1756.9</v>
      </c>
      <c r="M95" s="60">
        <v>1830.6</v>
      </c>
      <c r="N95" s="60">
        <v>1870.1</v>
      </c>
      <c r="O95" s="60">
        <v>2322</v>
      </c>
      <c r="P95" s="60">
        <v>15701.3</v>
      </c>
      <c r="Q95" s="61"/>
      <c r="R95" s="61"/>
      <c r="S95" s="59" t="s">
        <v>261</v>
      </c>
      <c r="U95" s="53"/>
      <c r="V95" s="53"/>
      <c r="W95" s="53"/>
      <c r="X95" s="53"/>
      <c r="Y95" s="53"/>
      <c r="Z95" s="53"/>
      <c r="AA95" s="53"/>
      <c r="AB95" s="53"/>
      <c r="AC95" s="53"/>
      <c r="AD95" s="53"/>
      <c r="AE95" s="53"/>
      <c r="AF95" s="53"/>
      <c r="AG95" s="53"/>
    </row>
    <row r="96" spans="2:33" ht="15" customHeight="1" x14ac:dyDescent="0.25">
      <c r="B96" s="135" t="str">
        <f>HYPERLINK("https://www.pbo.gov.au/elections/2025-general-election/2025-election-commitments-costings/Permanent-migration-program-reduction", "ECR-2025-2038")</f>
        <v>ECR-2025-2038</v>
      </c>
      <c r="C96" s="59" t="s">
        <v>366</v>
      </c>
      <c r="D96" s="60">
        <v>-309</v>
      </c>
      <c r="E96" s="60">
        <v>-625</v>
      </c>
      <c r="F96" s="60">
        <v>-1040</v>
      </c>
      <c r="G96" s="60">
        <v>-1412</v>
      </c>
      <c r="H96" s="60">
        <v>-1725</v>
      </c>
      <c r="I96" s="60">
        <v>-2048</v>
      </c>
      <c r="J96" s="60">
        <v>-2392</v>
      </c>
      <c r="K96" s="60">
        <v>-2785</v>
      </c>
      <c r="L96" s="60">
        <v>-3229</v>
      </c>
      <c r="M96" s="60">
        <v>-3703</v>
      </c>
      <c r="N96" s="60">
        <v>-4306</v>
      </c>
      <c r="O96" s="60">
        <v>-3386</v>
      </c>
      <c r="P96" s="60">
        <v>-23574</v>
      </c>
      <c r="Q96" s="61"/>
      <c r="R96" s="61"/>
      <c r="S96" s="59" t="s">
        <v>369</v>
      </c>
      <c r="U96" s="53"/>
      <c r="V96" s="53"/>
      <c r="W96" s="53"/>
      <c r="X96" s="53"/>
      <c r="Y96" s="53"/>
      <c r="Z96" s="53"/>
      <c r="AA96" s="53"/>
      <c r="AB96" s="53"/>
      <c r="AC96" s="53"/>
      <c r="AD96" s="53"/>
      <c r="AE96" s="53"/>
      <c r="AF96" s="53"/>
      <c r="AG96" s="53"/>
    </row>
    <row r="97" spans="2:37" ht="15" customHeight="1" x14ac:dyDescent="0.25">
      <c r="B97" s="135" t="str">
        <f>HYPERLINK("https://www.pbo.gov.au/elections/2025-general-election/2025-election-commitments-costings/Queensland%20Beef%20Corridors", "ECR-2025-2490")</f>
        <v>ECR-2025-2490</v>
      </c>
      <c r="C97" s="59" t="s">
        <v>254</v>
      </c>
      <c r="D97" s="60">
        <v>-50</v>
      </c>
      <c r="E97" s="60">
        <v>-16.7</v>
      </c>
      <c r="F97" s="60">
        <v>-16.7</v>
      </c>
      <c r="G97" s="60">
        <v>-16.7</v>
      </c>
      <c r="H97" s="60">
        <v>-80</v>
      </c>
      <c r="I97" s="60">
        <v>67.2</v>
      </c>
      <c r="J97" s="60">
        <v>60</v>
      </c>
      <c r="K97" s="60">
        <v>52.9</v>
      </c>
      <c r="L97" s="60">
        <v>0</v>
      </c>
      <c r="M97" s="60">
        <v>0</v>
      </c>
      <c r="N97" s="60">
        <v>0</v>
      </c>
      <c r="O97" s="60">
        <v>-100.1</v>
      </c>
      <c r="P97" s="60">
        <v>0</v>
      </c>
      <c r="Q97" s="61"/>
      <c r="R97" s="61"/>
      <c r="S97" s="59" t="s">
        <v>325</v>
      </c>
      <c r="U97" s="53"/>
      <c r="V97" s="53"/>
      <c r="W97" s="53"/>
      <c r="X97" s="53"/>
      <c r="Y97" s="53"/>
      <c r="Z97" s="53"/>
      <c r="AA97" s="53"/>
      <c r="AB97" s="53"/>
      <c r="AC97" s="53"/>
      <c r="AD97" s="53"/>
      <c r="AE97" s="53"/>
      <c r="AF97" s="53"/>
      <c r="AG97" s="53"/>
    </row>
    <row r="98" spans="2:37" ht="15" customHeight="1" x14ac:dyDescent="0.25">
      <c r="B98" s="135" t="str">
        <f>HYPERLINK("https://www.pbo.gov.au/elections/2025-general-election/2025-election-commitments-costings/rail-projects-increase-and-rephase", "ECR-2025-2257")</f>
        <v>ECR-2025-2257</v>
      </c>
      <c r="C98" s="59" t="s">
        <v>239</v>
      </c>
      <c r="D98" s="60">
        <v>364</v>
      </c>
      <c r="E98" s="60">
        <v>651.20000000000005</v>
      </c>
      <c r="F98" s="60">
        <v>850</v>
      </c>
      <c r="G98" s="60">
        <v>516.20000000000005</v>
      </c>
      <c r="H98" s="60">
        <v>295</v>
      </c>
      <c r="I98" s="60">
        <v>-1315</v>
      </c>
      <c r="J98" s="60">
        <v>-665</v>
      </c>
      <c r="K98" s="60">
        <v>-353.6</v>
      </c>
      <c r="L98" s="60">
        <v>-50</v>
      </c>
      <c r="M98" s="60">
        <v>-936.4</v>
      </c>
      <c r="N98" s="60">
        <v>0</v>
      </c>
      <c r="O98" s="60">
        <v>2381.4</v>
      </c>
      <c r="P98" s="60">
        <v>-643.6</v>
      </c>
      <c r="Q98" s="61"/>
      <c r="R98" s="61"/>
      <c r="S98" s="59" t="s">
        <v>261</v>
      </c>
      <c r="U98" s="53"/>
      <c r="V98" s="53"/>
      <c r="W98" s="53"/>
      <c r="X98" s="53"/>
      <c r="Y98" s="53"/>
      <c r="Z98" s="53"/>
      <c r="AA98" s="53"/>
      <c r="AB98" s="53"/>
      <c r="AC98" s="53"/>
      <c r="AD98" s="53"/>
      <c r="AE98" s="53"/>
      <c r="AF98" s="53"/>
      <c r="AG98" s="53"/>
    </row>
    <row r="99" spans="2:37" ht="15" customHeight="1" x14ac:dyDescent="0.25">
      <c r="B99" s="135" t="str">
        <f>HYPERLINK("https://www.pbo.gov.au/elections/2025-general-election/2025-election-commitments-costings/Regional%20Airports%20Program", "ECR-2025-2470")</f>
        <v>ECR-2025-2470</v>
      </c>
      <c r="C99" s="59" t="s">
        <v>211</v>
      </c>
      <c r="D99" s="60">
        <v>-10.199999999999999</v>
      </c>
      <c r="E99" s="60">
        <v>-35</v>
      </c>
      <c r="F99" s="60">
        <v>-43.5</v>
      </c>
      <c r="G99" s="60">
        <v>-44.5</v>
      </c>
      <c r="H99" s="60">
        <v>0</v>
      </c>
      <c r="I99" s="60">
        <v>0</v>
      </c>
      <c r="J99" s="60">
        <v>0</v>
      </c>
      <c r="K99" s="60">
        <v>0</v>
      </c>
      <c r="L99" s="60">
        <v>0</v>
      </c>
      <c r="M99" s="60">
        <v>0</v>
      </c>
      <c r="N99" s="60">
        <v>0</v>
      </c>
      <c r="O99" s="60">
        <v>-133.19999999999999</v>
      </c>
      <c r="P99" s="60">
        <v>-133.19999999999999</v>
      </c>
      <c r="Q99" s="61"/>
      <c r="R99" s="61"/>
      <c r="S99" s="59" t="s">
        <v>326</v>
      </c>
      <c r="U99" s="53"/>
      <c r="V99" s="53"/>
      <c r="W99" s="53"/>
      <c r="X99" s="53"/>
      <c r="Y99" s="53"/>
      <c r="Z99" s="53"/>
      <c r="AA99" s="53"/>
      <c r="AB99" s="53"/>
      <c r="AC99" s="53"/>
      <c r="AD99" s="53"/>
      <c r="AE99" s="53"/>
      <c r="AF99" s="53"/>
      <c r="AG99" s="53"/>
    </row>
    <row r="100" spans="2:37" ht="15" customHeight="1" x14ac:dyDescent="0.25">
      <c r="B100" s="135" t="str">
        <f>HYPERLINK("https://www.pbo.gov.au/elections/2025-general-election/2025-election-commitments-costings/Restore%20humanitarian%20program%20intake%20to%20long%20term%20average", "ECR-2025-2586")</f>
        <v>ECR-2025-2586</v>
      </c>
      <c r="C100" s="59" t="s">
        <v>208</v>
      </c>
      <c r="D100" s="60">
        <v>96.6</v>
      </c>
      <c r="E100" s="60">
        <v>312.89999999999998</v>
      </c>
      <c r="F100" s="60">
        <v>433.5</v>
      </c>
      <c r="G100" s="60">
        <v>541.20000000000005</v>
      </c>
      <c r="H100" s="60">
        <v>636.1</v>
      </c>
      <c r="I100" s="60">
        <v>719.1</v>
      </c>
      <c r="J100" s="60">
        <v>798.1</v>
      </c>
      <c r="K100" s="60">
        <v>865.2</v>
      </c>
      <c r="L100" s="60">
        <v>963.4</v>
      </c>
      <c r="M100" s="60">
        <v>1028.7</v>
      </c>
      <c r="N100" s="60">
        <v>1094.0999999999999</v>
      </c>
      <c r="O100" s="60">
        <v>1384.2</v>
      </c>
      <c r="P100" s="60">
        <v>7488.9</v>
      </c>
      <c r="Q100" s="61"/>
      <c r="R100" s="61"/>
      <c r="S100" s="59" t="s">
        <v>327</v>
      </c>
      <c r="U100" s="53"/>
      <c r="V100" s="53"/>
      <c r="W100" s="53"/>
      <c r="X100" s="53"/>
      <c r="Y100" s="53"/>
      <c r="Z100" s="53"/>
      <c r="AA100" s="53"/>
      <c r="AB100" s="53"/>
      <c r="AC100" s="53"/>
      <c r="AD100" s="53"/>
      <c r="AE100" s="53"/>
      <c r="AF100" s="53"/>
      <c r="AG100" s="53"/>
    </row>
    <row r="101" spans="2:37" ht="15" customHeight="1" x14ac:dyDescent="0.25">
      <c r="B101" s="135" t="str">
        <f>HYPERLINK("https://www.pbo.gov.au/elections/2025-general-election/2025-election-commitments-costings/restoring-australian-building-and-construction-commission", "ECR-2025-2246")</f>
        <v>ECR-2025-2246</v>
      </c>
      <c r="C101" s="59" t="s">
        <v>207</v>
      </c>
      <c r="D101" s="60">
        <v>-35.799999999999997</v>
      </c>
      <c r="E101" s="60">
        <v>-20.9</v>
      </c>
      <c r="F101" s="60">
        <v>-21.2</v>
      </c>
      <c r="G101" s="60">
        <v>-21.4</v>
      </c>
      <c r="H101" s="60">
        <v>-21.7</v>
      </c>
      <c r="I101" s="60">
        <v>-21.9</v>
      </c>
      <c r="J101" s="60">
        <v>-22.2</v>
      </c>
      <c r="K101" s="60">
        <v>-22.5</v>
      </c>
      <c r="L101" s="60">
        <v>-22.8</v>
      </c>
      <c r="M101" s="60">
        <v>-23</v>
      </c>
      <c r="N101" s="60">
        <v>-23.4</v>
      </c>
      <c r="O101" s="60">
        <v>-99.3</v>
      </c>
      <c r="P101" s="60">
        <v>-256.8</v>
      </c>
      <c r="Q101" s="61"/>
      <c r="R101" s="61"/>
      <c r="S101" s="59" t="s">
        <v>328</v>
      </c>
      <c r="U101" s="53"/>
      <c r="V101" s="53"/>
      <c r="W101" s="53"/>
      <c r="X101" s="53"/>
      <c r="Y101" s="53"/>
      <c r="Z101" s="53"/>
      <c r="AA101" s="53"/>
      <c r="AB101" s="53"/>
      <c r="AC101" s="53"/>
      <c r="AD101" s="53"/>
      <c r="AE101" s="53"/>
      <c r="AF101" s="53"/>
      <c r="AG101" s="53"/>
    </row>
    <row r="102" spans="2:37" ht="15" customHeight="1" x14ac:dyDescent="0.25">
      <c r="B102" s="135" t="str">
        <f>HYPERLINK("https://www.pbo.gov.au/elections/2025-general-election/2025-election-commitments-costings/roads-recovery-additional-investment", "ECR-2025-2576")</f>
        <v>ECR-2025-2576</v>
      </c>
      <c r="C102" s="59" t="s">
        <v>195</v>
      </c>
      <c r="D102" s="60">
        <v>-200</v>
      </c>
      <c r="E102" s="60">
        <v>-50</v>
      </c>
      <c r="F102" s="60">
        <v>0</v>
      </c>
      <c r="G102" s="60">
        <v>0</v>
      </c>
      <c r="H102" s="60">
        <v>0</v>
      </c>
      <c r="I102" s="60">
        <v>0</v>
      </c>
      <c r="J102" s="60">
        <v>0</v>
      </c>
      <c r="K102" s="60">
        <v>0</v>
      </c>
      <c r="L102" s="60">
        <v>0</v>
      </c>
      <c r="M102" s="60">
        <v>0</v>
      </c>
      <c r="N102" s="60">
        <v>0</v>
      </c>
      <c r="O102" s="60">
        <v>-250</v>
      </c>
      <c r="P102" s="60">
        <v>-250</v>
      </c>
      <c r="Q102" s="61"/>
      <c r="R102" s="61"/>
      <c r="S102" s="59" t="s">
        <v>261</v>
      </c>
      <c r="U102" s="53"/>
      <c r="V102" s="53"/>
      <c r="W102" s="53"/>
      <c r="X102" s="53"/>
      <c r="Y102" s="53"/>
      <c r="Z102" s="53"/>
      <c r="AA102" s="53"/>
      <c r="AB102" s="53"/>
      <c r="AC102" s="53"/>
      <c r="AD102" s="53"/>
      <c r="AE102" s="53"/>
      <c r="AF102" s="53"/>
      <c r="AG102" s="53"/>
    </row>
    <row r="103" spans="2:37" ht="15" customHeight="1" x14ac:dyDescent="0.25">
      <c r="B103" s="135" t="str">
        <f>HYPERLINK("https://www.pbo.gov.au/elections/2025-general-election/2025-election-commitments-costings/Safer%20Local%20Roads%20and%20Infrastructure%20Program%20%E2%80%93%20redirect", "ECR-2025-2512")</f>
        <v>ECR-2025-2512</v>
      </c>
      <c r="C103" s="59" t="s">
        <v>167</v>
      </c>
      <c r="D103" s="60">
        <v>200</v>
      </c>
      <c r="E103" s="60">
        <v>200</v>
      </c>
      <c r="F103" s="60">
        <v>205</v>
      </c>
      <c r="G103" s="60">
        <v>200</v>
      </c>
      <c r="H103" s="60">
        <v>200</v>
      </c>
      <c r="I103" s="60">
        <v>200</v>
      </c>
      <c r="J103" s="60">
        <v>200</v>
      </c>
      <c r="K103" s="60">
        <v>200</v>
      </c>
      <c r="L103" s="60">
        <v>200</v>
      </c>
      <c r="M103" s="60">
        <v>200</v>
      </c>
      <c r="N103" s="60">
        <v>200</v>
      </c>
      <c r="O103" s="60">
        <v>805</v>
      </c>
      <c r="P103" s="60">
        <v>2205</v>
      </c>
      <c r="Q103" s="61"/>
      <c r="R103" s="61"/>
      <c r="S103" s="59" t="s">
        <v>329</v>
      </c>
      <c r="U103" s="53"/>
      <c r="V103" s="53"/>
      <c r="W103" s="53"/>
      <c r="X103" s="53"/>
      <c r="Y103" s="53"/>
      <c r="Z103" s="53"/>
      <c r="AA103" s="53"/>
      <c r="AB103" s="53"/>
      <c r="AC103" s="53"/>
      <c r="AD103" s="53"/>
      <c r="AE103" s="53"/>
      <c r="AF103" s="53"/>
      <c r="AG103" s="53"/>
    </row>
    <row r="104" spans="2:37" ht="15" customHeight="1" x14ac:dyDescent="0.25">
      <c r="B104" s="135" t="str">
        <f>HYPERLINK("https://www.pbo.gov.au/elections/2025-general-election/2025-election-commitments-costings/suburban-rail-loop-not-proceeding", "ECR-2025-2600")</f>
        <v>ECR-2025-2600</v>
      </c>
      <c r="C104" s="59" t="s">
        <v>158</v>
      </c>
      <c r="D104" s="60">
        <v>800</v>
      </c>
      <c r="E104" s="60">
        <v>800</v>
      </c>
      <c r="F104" s="60">
        <v>600</v>
      </c>
      <c r="G104" s="60">
        <v>0</v>
      </c>
      <c r="H104" s="60">
        <v>0</v>
      </c>
      <c r="I104" s="60">
        <v>0</v>
      </c>
      <c r="J104" s="60">
        <v>0</v>
      </c>
      <c r="K104" s="60">
        <v>0</v>
      </c>
      <c r="L104" s="60">
        <v>0</v>
      </c>
      <c r="M104" s="60">
        <v>0</v>
      </c>
      <c r="N104" s="60">
        <v>0</v>
      </c>
      <c r="O104" s="60">
        <v>2200</v>
      </c>
      <c r="P104" s="60">
        <v>2200</v>
      </c>
      <c r="Q104" s="61"/>
      <c r="R104" s="61"/>
      <c r="S104" s="59" t="s">
        <v>311</v>
      </c>
      <c r="U104" s="53"/>
      <c r="V104" s="53"/>
      <c r="W104" s="53"/>
      <c r="X104" s="53"/>
      <c r="Y104" s="53"/>
      <c r="Z104" s="53"/>
      <c r="AA104" s="53"/>
      <c r="AB104" s="53"/>
      <c r="AC104" s="53"/>
      <c r="AD104" s="53"/>
      <c r="AE104" s="53"/>
      <c r="AF104" s="53"/>
      <c r="AG104" s="53"/>
    </row>
    <row r="105" spans="2:37" ht="15" customHeight="1" x14ac:dyDescent="0.25">
      <c r="B105" s="135" t="str">
        <f>HYPERLINK("https://www.pbo.gov.au/elections/2025-general-election/2025-election-commitments-costings/super-home-buyer-scheme", "ECR-2025-2301")</f>
        <v>ECR-2025-2301</v>
      </c>
      <c r="C105" s="59" t="s">
        <v>210</v>
      </c>
      <c r="D105" s="60">
        <v>-146</v>
      </c>
      <c r="E105" s="60">
        <v>-91</v>
      </c>
      <c r="F105" s="60">
        <v>-133</v>
      </c>
      <c r="G105" s="60">
        <v>-169</v>
      </c>
      <c r="H105" s="60">
        <v>-200</v>
      </c>
      <c r="I105" s="60">
        <v>-230</v>
      </c>
      <c r="J105" s="60">
        <v>-253</v>
      </c>
      <c r="K105" s="60">
        <v>-273</v>
      </c>
      <c r="L105" s="60">
        <v>-292</v>
      </c>
      <c r="M105" s="60">
        <v>-310</v>
      </c>
      <c r="N105" s="60">
        <v>-325</v>
      </c>
      <c r="O105" s="60">
        <v>-539</v>
      </c>
      <c r="P105" s="60">
        <v>-2422</v>
      </c>
      <c r="Q105" s="61"/>
      <c r="R105" s="61"/>
      <c r="S105" s="59" t="s">
        <v>327</v>
      </c>
      <c r="U105" s="53"/>
      <c r="V105" s="53"/>
      <c r="W105" s="53"/>
      <c r="X105" s="53"/>
      <c r="Y105" s="53"/>
      <c r="Z105" s="53"/>
      <c r="AA105" s="53"/>
      <c r="AB105" s="53"/>
      <c r="AC105" s="53"/>
      <c r="AD105" s="53"/>
      <c r="AE105" s="53"/>
      <c r="AF105" s="53"/>
      <c r="AG105" s="53"/>
    </row>
    <row r="106" spans="2:37" ht="15" customHeight="1" x14ac:dyDescent="0.25">
      <c r="B106" s="135" t="str">
        <f>HYPERLINK("https://www.pbo.gov.au/elections/2025-general-election/2025-election-commitments-costings/supporting-local-community-infrastructure-projects", "ECR-2025-2369")</f>
        <v>ECR-2025-2369</v>
      </c>
      <c r="C106" s="59" t="s">
        <v>255</v>
      </c>
      <c r="D106" s="60">
        <v>-458.8</v>
      </c>
      <c r="E106" s="60">
        <v>-435.6</v>
      </c>
      <c r="F106" s="60">
        <v>-400.8</v>
      </c>
      <c r="G106" s="60">
        <v>-349.5</v>
      </c>
      <c r="H106" s="60">
        <v>0</v>
      </c>
      <c r="I106" s="60">
        <v>0</v>
      </c>
      <c r="J106" s="60">
        <v>0</v>
      </c>
      <c r="K106" s="60">
        <v>0</v>
      </c>
      <c r="L106" s="60">
        <v>0</v>
      </c>
      <c r="M106" s="60">
        <v>0</v>
      </c>
      <c r="N106" s="60">
        <v>0</v>
      </c>
      <c r="O106" s="60">
        <v>-1644.7</v>
      </c>
      <c r="P106" s="60">
        <v>-1644.7</v>
      </c>
      <c r="Q106" s="61"/>
      <c r="R106" s="61"/>
      <c r="S106" s="59" t="s">
        <v>261</v>
      </c>
      <c r="U106" s="53"/>
      <c r="V106" s="53"/>
      <c r="W106" s="53"/>
      <c r="X106" s="53"/>
      <c r="Y106" s="53"/>
      <c r="Z106" s="53"/>
      <c r="AA106" s="53"/>
      <c r="AB106" s="53"/>
      <c r="AC106" s="53"/>
      <c r="AD106" s="53"/>
      <c r="AE106" s="53"/>
      <c r="AF106" s="53"/>
      <c r="AG106" s="53"/>
    </row>
    <row r="107" spans="2:37" ht="15" customHeight="1" x14ac:dyDescent="0.25">
      <c r="B107" s="135" t="str">
        <f>HYPERLINK("https://www.pbo.gov.au/elections/2025-general-election/2025-election-commitments-costings/Tradie%20and%20trainee%20booster%20apprentice%20and%20trainee%20hiring%20incentive", "ECR-2025-2325")</f>
        <v>ECR-2025-2325</v>
      </c>
      <c r="C107" s="59" t="s">
        <v>426</v>
      </c>
      <c r="D107" s="60">
        <v>-30</v>
      </c>
      <c r="E107" s="60">
        <v>-141</v>
      </c>
      <c r="F107" s="60">
        <v>-184</v>
      </c>
      <c r="G107" s="60">
        <v>-156</v>
      </c>
      <c r="H107" s="60">
        <v>-45</v>
      </c>
      <c r="I107" s="60">
        <v>-2</v>
      </c>
      <c r="J107" s="60">
        <v>0</v>
      </c>
      <c r="K107" s="60">
        <v>0</v>
      </c>
      <c r="L107" s="60">
        <v>0</v>
      </c>
      <c r="M107" s="60">
        <v>0</v>
      </c>
      <c r="N107" s="60">
        <v>0</v>
      </c>
      <c r="O107" s="60">
        <v>-511</v>
      </c>
      <c r="P107" s="60">
        <v>-558</v>
      </c>
      <c r="Q107" s="61"/>
      <c r="R107" s="61"/>
      <c r="S107" s="59" t="s">
        <v>322</v>
      </c>
    </row>
    <row r="108" spans="2:37" ht="15" customHeight="1" x14ac:dyDescent="0.25">
      <c r="B108" s="135" t="str">
        <f>HYPERLINK("https://www.pbo.gov.au/elections/2025-general-election/2025-election-commitments-costings/two-tiered-student-visa-application-charge", "ECR-2025-2852")</f>
        <v>ECR-2025-2852</v>
      </c>
      <c r="C108" s="59" t="s">
        <v>373</v>
      </c>
      <c r="D108" s="60">
        <v>797.1</v>
      </c>
      <c r="E108" s="60">
        <v>788</v>
      </c>
      <c r="F108" s="60">
        <v>769</v>
      </c>
      <c r="G108" s="60">
        <v>758</v>
      </c>
      <c r="H108" s="60">
        <v>746.9</v>
      </c>
      <c r="I108" s="60">
        <v>733.9</v>
      </c>
      <c r="J108" s="60">
        <v>719.9</v>
      </c>
      <c r="K108" s="60">
        <v>699.9</v>
      </c>
      <c r="L108" s="60">
        <v>678.9</v>
      </c>
      <c r="M108" s="60">
        <v>654.9</v>
      </c>
      <c r="N108" s="60">
        <v>627.9</v>
      </c>
      <c r="O108" s="60">
        <v>3112.1</v>
      </c>
      <c r="P108" s="60">
        <v>7974.4</v>
      </c>
      <c r="Q108" s="61"/>
      <c r="R108" s="61"/>
      <c r="S108" s="59" t="s">
        <v>314</v>
      </c>
      <c r="T108" s="79"/>
    </row>
    <row r="109" spans="2:37" ht="15" customHeight="1" x14ac:dyDescent="0.25">
      <c r="B109" s="59" t="s">
        <v>119</v>
      </c>
      <c r="C109" s="59" t="s">
        <v>398</v>
      </c>
      <c r="D109" s="60">
        <v>0</v>
      </c>
      <c r="E109" s="60">
        <v>0</v>
      </c>
      <c r="F109" s="60">
        <v>0</v>
      </c>
      <c r="G109" s="60">
        <v>0</v>
      </c>
      <c r="H109" s="60">
        <v>0</v>
      </c>
      <c r="I109" s="60">
        <v>0</v>
      </c>
      <c r="J109" s="60">
        <v>0</v>
      </c>
      <c r="K109" s="60">
        <v>0</v>
      </c>
      <c r="L109" s="60">
        <v>0</v>
      </c>
      <c r="M109" s="60">
        <v>0</v>
      </c>
      <c r="N109" s="60">
        <v>0</v>
      </c>
      <c r="O109" s="60">
        <v>0</v>
      </c>
      <c r="P109" s="60">
        <v>0</v>
      </c>
      <c r="Q109" s="61"/>
      <c r="R109" s="61"/>
      <c r="S109" s="59" t="s">
        <v>261</v>
      </c>
      <c r="T109" s="80"/>
    </row>
    <row r="110" spans="2:37" ht="15" customHeight="1" x14ac:dyDescent="0.25">
      <c r="B110" s="62" t="s">
        <v>378</v>
      </c>
      <c r="C110" s="62"/>
      <c r="D110" s="63">
        <v>1463.5</v>
      </c>
      <c r="E110" s="63">
        <v>1579.5</v>
      </c>
      <c r="F110" s="63">
        <v>1907.9</v>
      </c>
      <c r="G110" s="63">
        <v>1501.2</v>
      </c>
      <c r="H110" s="63">
        <v>4388.8</v>
      </c>
      <c r="I110" s="63">
        <v>106.2</v>
      </c>
      <c r="J110" s="63">
        <v>157</v>
      </c>
      <c r="K110" s="63">
        <v>-17.100000000000001</v>
      </c>
      <c r="L110" s="63">
        <v>-584.79999999999995</v>
      </c>
      <c r="M110" s="63">
        <v>-1832.8</v>
      </c>
      <c r="N110" s="63">
        <v>-1421</v>
      </c>
      <c r="O110" s="63">
        <v>6452.1</v>
      </c>
      <c r="P110" s="63">
        <v>7248.4</v>
      </c>
      <c r="Q110" s="64" t="s">
        <v>9</v>
      </c>
      <c r="R110" s="64"/>
      <c r="S110" s="62" t="s">
        <v>10</v>
      </c>
    </row>
    <row r="111" spans="2:37" ht="15" customHeight="1" x14ac:dyDescent="0.25">
      <c r="B111" s="81" t="s">
        <v>96</v>
      </c>
      <c r="C111" s="3"/>
      <c r="D111" s="55" t="s">
        <v>10</v>
      </c>
      <c r="E111" s="55" t="s">
        <v>10</v>
      </c>
      <c r="F111" s="55" t="s">
        <v>10</v>
      </c>
      <c r="G111" s="55" t="s">
        <v>10</v>
      </c>
      <c r="H111" s="55" t="s">
        <v>10</v>
      </c>
      <c r="I111" s="55" t="s">
        <v>10</v>
      </c>
      <c r="J111" s="55" t="s">
        <v>10</v>
      </c>
      <c r="K111" s="55" t="s">
        <v>10</v>
      </c>
      <c r="L111" s="55" t="s">
        <v>10</v>
      </c>
      <c r="M111" s="55" t="s">
        <v>10</v>
      </c>
      <c r="N111" s="55" t="s">
        <v>10</v>
      </c>
      <c r="O111" s="55" t="s">
        <v>10</v>
      </c>
      <c r="P111" s="55" t="s">
        <v>10</v>
      </c>
      <c r="Q111" s="4"/>
      <c r="R111" s="4"/>
      <c r="S111" s="3" t="s">
        <v>10</v>
      </c>
      <c r="U111" s="53"/>
      <c r="V111" s="53"/>
      <c r="W111" s="53"/>
      <c r="X111" s="53"/>
      <c r="Y111" s="53"/>
      <c r="Z111" s="53"/>
      <c r="AA111" s="53"/>
      <c r="AB111" s="53"/>
      <c r="AC111" s="53"/>
      <c r="AD111" s="53"/>
      <c r="AE111" s="53"/>
      <c r="AF111" s="53"/>
      <c r="AG111" s="53"/>
      <c r="AH111" s="79"/>
      <c r="AI111" s="79"/>
      <c r="AJ111" s="79"/>
      <c r="AK111" s="79"/>
    </row>
    <row r="112" spans="2:37" ht="15" customHeight="1" x14ac:dyDescent="0.25">
      <c r="B112" s="135" t="str">
        <f>HYPERLINK("https://www.pbo.gov.au/elections/2025-general-election/2025-election-commitments-costings/80th-anniversary-end-WWII-grants-program", "ECR-2025-2203")</f>
        <v>ECR-2025-2203</v>
      </c>
      <c r="C112" s="59" t="s">
        <v>134</v>
      </c>
      <c r="D112" s="60">
        <v>-10.199999999999999</v>
      </c>
      <c r="E112" s="60">
        <v>-12</v>
      </c>
      <c r="F112" s="60">
        <v>0</v>
      </c>
      <c r="G112" s="60">
        <v>0</v>
      </c>
      <c r="H112" s="60">
        <v>0</v>
      </c>
      <c r="I112" s="60">
        <v>0</v>
      </c>
      <c r="J112" s="60">
        <v>0</v>
      </c>
      <c r="K112" s="60">
        <v>0</v>
      </c>
      <c r="L112" s="60">
        <v>0</v>
      </c>
      <c r="M112" s="60">
        <v>0</v>
      </c>
      <c r="N112" s="60">
        <v>0</v>
      </c>
      <c r="O112" s="60">
        <v>-22.2</v>
      </c>
      <c r="P112" s="60">
        <v>-22.2</v>
      </c>
      <c r="Q112" s="61"/>
      <c r="R112" s="61"/>
      <c r="S112" s="59" t="s">
        <v>257</v>
      </c>
      <c r="U112" s="53"/>
      <c r="V112" s="53"/>
      <c r="W112" s="53"/>
      <c r="X112" s="53"/>
      <c r="Y112" s="53"/>
      <c r="Z112" s="53"/>
      <c r="AA112" s="53"/>
      <c r="AB112" s="53"/>
      <c r="AC112" s="53"/>
      <c r="AD112" s="53"/>
      <c r="AE112" s="53"/>
      <c r="AF112" s="53"/>
      <c r="AG112" s="53"/>
      <c r="AH112" s="79"/>
      <c r="AI112" s="79"/>
      <c r="AJ112" s="79"/>
      <c r="AK112" s="79"/>
    </row>
    <row r="113" spans="2:37" ht="15" customHeight="1" x14ac:dyDescent="0.25">
      <c r="B113" s="135" t="str">
        <f>HYPERLINK("https://www.pbo.gov.au/elections/2025-general-election/2025-election-commitments-costings/Adass-Israel-Synagogue-rebuild", "ECR-2025-2272")</f>
        <v>ECR-2025-2272</v>
      </c>
      <c r="C113" s="59" t="s">
        <v>427</v>
      </c>
      <c r="D113" s="60">
        <v>-3.8</v>
      </c>
      <c r="E113" s="60">
        <v>0</v>
      </c>
      <c r="F113" s="60">
        <v>0</v>
      </c>
      <c r="G113" s="60">
        <v>0</v>
      </c>
      <c r="H113" s="60">
        <v>0</v>
      </c>
      <c r="I113" s="60">
        <v>0</v>
      </c>
      <c r="J113" s="60">
        <v>0</v>
      </c>
      <c r="K113" s="60">
        <v>0</v>
      </c>
      <c r="L113" s="60">
        <v>0</v>
      </c>
      <c r="M113" s="60">
        <v>0</v>
      </c>
      <c r="N113" s="60">
        <v>0</v>
      </c>
      <c r="O113" s="60">
        <v>-3.8</v>
      </c>
      <c r="P113" s="60">
        <v>-3.8</v>
      </c>
      <c r="Q113" s="61"/>
      <c r="R113" s="61"/>
      <c r="S113" s="59" t="s">
        <v>258</v>
      </c>
      <c r="U113" s="53"/>
      <c r="V113" s="53"/>
      <c r="W113" s="53"/>
      <c r="X113" s="53"/>
      <c r="Y113" s="53"/>
      <c r="Z113" s="53"/>
      <c r="AA113" s="53"/>
      <c r="AB113" s="53"/>
      <c r="AC113" s="53"/>
      <c r="AD113" s="53"/>
      <c r="AE113" s="53"/>
      <c r="AF113" s="53"/>
      <c r="AG113" s="53"/>
      <c r="AH113" s="79"/>
      <c r="AI113" s="79"/>
      <c r="AJ113" s="79"/>
      <c r="AK113" s="79"/>
    </row>
    <row r="114" spans="2:37" ht="15" customHeight="1" x14ac:dyDescent="0.25">
      <c r="B114" s="135" t="str">
        <f>HYPERLINK("https://www.pbo.gov.au/elections/2025-general-election/2025-election-commitments-costings/alannah-and-madeline-foundation-support", "ECR-2025-2544")</f>
        <v>ECR-2025-2544</v>
      </c>
      <c r="C114" s="59" t="s">
        <v>138</v>
      </c>
      <c r="D114" s="60">
        <v>0</v>
      </c>
      <c r="E114" s="60">
        <v>-2</v>
      </c>
      <c r="F114" s="60">
        <v>-2</v>
      </c>
      <c r="G114" s="60">
        <v>-2</v>
      </c>
      <c r="H114" s="60">
        <v>0</v>
      </c>
      <c r="I114" s="60">
        <v>0</v>
      </c>
      <c r="J114" s="60">
        <v>0</v>
      </c>
      <c r="K114" s="60">
        <v>0</v>
      </c>
      <c r="L114" s="60">
        <v>0</v>
      </c>
      <c r="M114" s="60">
        <v>0</v>
      </c>
      <c r="N114" s="60">
        <v>0</v>
      </c>
      <c r="O114" s="60">
        <v>-6</v>
      </c>
      <c r="P114" s="60">
        <v>-6</v>
      </c>
      <c r="Q114" s="61"/>
      <c r="R114" s="61"/>
      <c r="S114" s="59" t="s">
        <v>259</v>
      </c>
      <c r="U114" s="53"/>
      <c r="V114" s="53"/>
      <c r="W114" s="53"/>
      <c r="X114" s="53"/>
      <c r="Y114" s="53"/>
      <c r="Z114" s="53"/>
      <c r="AA114" s="53"/>
      <c r="AB114" s="53"/>
      <c r="AC114" s="53"/>
      <c r="AD114" s="53"/>
      <c r="AE114" s="53"/>
      <c r="AF114" s="53"/>
      <c r="AG114" s="53"/>
      <c r="AH114" s="79"/>
      <c r="AI114" s="79"/>
      <c r="AJ114" s="79"/>
      <c r="AK114" s="79"/>
    </row>
    <row r="115" spans="2:37" ht="15" customHeight="1" x14ac:dyDescent="0.25">
      <c r="B115" s="135" t="str">
        <f>HYPERLINK("https://www.pbo.gov.au/elections/2025-general-election/2025-election-commitments-costings/albany-national-anzac-centre-commonwealth-support", "ECR-2025-2795")</f>
        <v>ECR-2025-2795</v>
      </c>
      <c r="C115" s="59" t="s">
        <v>129</v>
      </c>
      <c r="D115" s="60">
        <v>-1.5</v>
      </c>
      <c r="E115" s="60">
        <v>-1.5</v>
      </c>
      <c r="F115" s="60">
        <v>-1.5</v>
      </c>
      <c r="G115" s="60">
        <v>-1.5</v>
      </c>
      <c r="H115" s="60">
        <v>0</v>
      </c>
      <c r="I115" s="60">
        <v>0</v>
      </c>
      <c r="J115" s="60">
        <v>0</v>
      </c>
      <c r="K115" s="60">
        <v>0</v>
      </c>
      <c r="L115" s="60">
        <v>0</v>
      </c>
      <c r="M115" s="60">
        <v>0</v>
      </c>
      <c r="N115" s="60">
        <v>0</v>
      </c>
      <c r="O115" s="60">
        <v>-6</v>
      </c>
      <c r="P115" s="60">
        <v>-6</v>
      </c>
      <c r="Q115" s="61"/>
      <c r="R115" s="61"/>
      <c r="S115" s="59" t="s">
        <v>260</v>
      </c>
      <c r="U115" s="53"/>
      <c r="V115" s="53"/>
      <c r="W115" s="53"/>
      <c r="X115" s="53"/>
      <c r="Y115" s="53"/>
      <c r="Z115" s="53"/>
      <c r="AA115" s="53"/>
      <c r="AB115" s="53"/>
      <c r="AC115" s="53"/>
      <c r="AD115" s="53"/>
      <c r="AE115" s="53"/>
      <c r="AF115" s="53"/>
      <c r="AG115" s="53"/>
      <c r="AH115" s="79"/>
      <c r="AI115" s="79"/>
      <c r="AJ115" s="79"/>
      <c r="AK115" s="79"/>
    </row>
    <row r="116" spans="2:37" ht="15" customHeight="1" x14ac:dyDescent="0.25">
      <c r="B116" s="135" t="str">
        <f>HYPERLINK("https://www.pbo.gov.au/elections/2025-general-election/2025-election-commitments-costings/Ambassador%20for%20First%20Nations%20People%20-%20reverse", "ECR-2025-2056")</f>
        <v>ECR-2025-2056</v>
      </c>
      <c r="C116" s="59" t="s">
        <v>141</v>
      </c>
      <c r="D116" s="60">
        <v>0.6</v>
      </c>
      <c r="E116" s="60">
        <v>0.7</v>
      </c>
      <c r="F116" s="60">
        <v>0.7</v>
      </c>
      <c r="G116" s="60">
        <v>0.7</v>
      </c>
      <c r="H116" s="60">
        <v>0.7</v>
      </c>
      <c r="I116" s="60">
        <v>0.7</v>
      </c>
      <c r="J116" s="60">
        <v>0.7</v>
      </c>
      <c r="K116" s="60">
        <v>0.7</v>
      </c>
      <c r="L116" s="60">
        <v>0.8</v>
      </c>
      <c r="M116" s="60">
        <v>0.8</v>
      </c>
      <c r="N116" s="60">
        <v>0.8</v>
      </c>
      <c r="O116" s="60">
        <v>2.7</v>
      </c>
      <c r="P116" s="60">
        <v>7.9</v>
      </c>
      <c r="Q116" s="61"/>
      <c r="R116" s="61"/>
      <c r="S116" s="59" t="s">
        <v>261</v>
      </c>
      <c r="U116" s="53"/>
      <c r="V116" s="53"/>
      <c r="W116" s="53"/>
      <c r="X116" s="53"/>
      <c r="Y116" s="53"/>
      <c r="Z116" s="53"/>
      <c r="AA116" s="53"/>
      <c r="AB116" s="53"/>
      <c r="AC116" s="53"/>
      <c r="AD116" s="53"/>
      <c r="AE116" s="53"/>
      <c r="AF116" s="53"/>
      <c r="AG116" s="53"/>
      <c r="AH116" s="79"/>
      <c r="AI116" s="79"/>
      <c r="AJ116" s="79"/>
      <c r="AK116" s="79"/>
    </row>
    <row r="117" spans="2:37" ht="15" customHeight="1" x14ac:dyDescent="0.25">
      <c r="B117" s="59" t="s">
        <v>102</v>
      </c>
      <c r="C117" s="59" t="s">
        <v>399</v>
      </c>
      <c r="D117" s="60">
        <v>0</v>
      </c>
      <c r="E117" s="60">
        <v>0</v>
      </c>
      <c r="F117" s="60">
        <v>0</v>
      </c>
      <c r="G117" s="60">
        <v>0</v>
      </c>
      <c r="H117" s="60">
        <v>0</v>
      </c>
      <c r="I117" s="60">
        <v>0</v>
      </c>
      <c r="J117" s="60">
        <v>0</v>
      </c>
      <c r="K117" s="60">
        <v>0</v>
      </c>
      <c r="L117" s="60">
        <v>0</v>
      </c>
      <c r="M117" s="60">
        <v>0</v>
      </c>
      <c r="N117" s="60">
        <v>0</v>
      </c>
      <c r="O117" s="60">
        <v>0</v>
      </c>
      <c r="P117" s="60">
        <v>0</v>
      </c>
      <c r="Q117" s="61"/>
      <c r="R117" s="61"/>
      <c r="S117" s="59" t="s">
        <v>261</v>
      </c>
      <c r="U117" s="53"/>
      <c r="V117" s="53"/>
      <c r="W117" s="53"/>
      <c r="X117" s="53"/>
      <c r="Y117" s="53"/>
      <c r="Z117" s="53"/>
      <c r="AA117" s="53"/>
      <c r="AB117" s="53"/>
      <c r="AC117" s="53"/>
      <c r="AD117" s="53"/>
      <c r="AE117" s="53"/>
      <c r="AF117" s="53"/>
      <c r="AG117" s="53"/>
    </row>
    <row r="118" spans="2:37" ht="15" customHeight="1" x14ac:dyDescent="0.25">
      <c r="B118" s="135" t="str">
        <f>HYPERLINK("https://www.pbo.gov.au/elections/2025-general-election/2025-election-commitments-costings/anti-semitism-taskforce", "ECR-2025-2477")</f>
        <v>ECR-2025-2477</v>
      </c>
      <c r="C118" s="59" t="s">
        <v>197</v>
      </c>
      <c r="D118" s="60">
        <v>-5.7</v>
      </c>
      <c r="E118" s="60">
        <v>-7.4</v>
      </c>
      <c r="F118" s="60">
        <v>-7.5</v>
      </c>
      <c r="G118" s="60">
        <v>-7.7</v>
      </c>
      <c r="H118" s="60">
        <v>0</v>
      </c>
      <c r="I118" s="60">
        <v>0</v>
      </c>
      <c r="J118" s="60">
        <v>0</v>
      </c>
      <c r="K118" s="60">
        <v>0</v>
      </c>
      <c r="L118" s="60">
        <v>0</v>
      </c>
      <c r="M118" s="60">
        <v>0</v>
      </c>
      <c r="N118" s="60">
        <v>0</v>
      </c>
      <c r="O118" s="60">
        <v>-28.3</v>
      </c>
      <c r="P118" s="60">
        <v>-28.3</v>
      </c>
      <c r="Q118" s="61"/>
      <c r="R118" s="61"/>
      <c r="S118" s="59" t="s">
        <v>262</v>
      </c>
      <c r="U118" s="53"/>
      <c r="V118" s="53"/>
      <c r="W118" s="53"/>
      <c r="X118" s="53"/>
      <c r="Y118" s="53"/>
      <c r="Z118" s="53"/>
      <c r="AA118" s="53"/>
      <c r="AB118" s="53"/>
      <c r="AC118" s="53"/>
      <c r="AD118" s="53"/>
      <c r="AE118" s="53"/>
      <c r="AF118" s="53"/>
      <c r="AG118" s="53"/>
    </row>
    <row r="119" spans="2:37" ht="15" customHeight="1" x14ac:dyDescent="0.25">
      <c r="B119" s="135" t="str">
        <f>HYPERLINK("https://www.pbo.gov.au/elections/2025-general-election/2025-election-commitments-costings/australian-centre-counter-child-exploitation-double-funding", "ECR-2025-2141")</f>
        <v>ECR-2025-2141</v>
      </c>
      <c r="C119" s="59" t="s">
        <v>216</v>
      </c>
      <c r="D119" s="60">
        <v>-32.9</v>
      </c>
      <c r="E119" s="60">
        <v>-32.700000000000003</v>
      </c>
      <c r="F119" s="60">
        <v>-33.4</v>
      </c>
      <c r="G119" s="60">
        <v>-34.200000000000003</v>
      </c>
      <c r="H119" s="60">
        <v>-35.1</v>
      </c>
      <c r="I119" s="60">
        <v>-36</v>
      </c>
      <c r="J119" s="60">
        <v>-36.9</v>
      </c>
      <c r="K119" s="60">
        <v>-37.9</v>
      </c>
      <c r="L119" s="60">
        <v>-38.9</v>
      </c>
      <c r="M119" s="60">
        <v>-39.9</v>
      </c>
      <c r="N119" s="60">
        <v>-40.9</v>
      </c>
      <c r="O119" s="60">
        <v>-133.19999999999999</v>
      </c>
      <c r="P119" s="60">
        <v>-398.8</v>
      </c>
      <c r="Q119" s="61"/>
      <c r="R119" s="61"/>
      <c r="S119" s="59" t="s">
        <v>263</v>
      </c>
      <c r="U119" s="53"/>
      <c r="V119" s="53"/>
      <c r="W119" s="53"/>
      <c r="X119" s="53"/>
      <c r="Y119" s="53"/>
      <c r="Z119" s="53"/>
      <c r="AA119" s="53"/>
      <c r="AB119" s="53"/>
      <c r="AC119" s="53"/>
      <c r="AD119" s="53"/>
      <c r="AE119" s="53"/>
      <c r="AF119" s="53"/>
      <c r="AG119" s="53"/>
    </row>
    <row r="120" spans="2:37" ht="15" customHeight="1" x14ac:dyDescent="0.25">
      <c r="B120" s="135" t="str">
        <f>HYPERLINK("https://www.pbo.gov.au/elections/2025-general-election/2025-election-commitments-costings/Australian%20Recycling%20Accreditation%20Program", "ECR-2025-2324")</f>
        <v>ECR-2025-2324</v>
      </c>
      <c r="C120" s="59" t="s">
        <v>137</v>
      </c>
      <c r="D120" s="60">
        <v>-0.6</v>
      </c>
      <c r="E120" s="60">
        <v>0</v>
      </c>
      <c r="F120" s="60">
        <v>0</v>
      </c>
      <c r="G120" s="60">
        <v>0</v>
      </c>
      <c r="H120" s="60">
        <v>0</v>
      </c>
      <c r="I120" s="60">
        <v>0</v>
      </c>
      <c r="J120" s="60">
        <v>0</v>
      </c>
      <c r="K120" s="60">
        <v>0</v>
      </c>
      <c r="L120" s="60">
        <v>0</v>
      </c>
      <c r="M120" s="60">
        <v>0</v>
      </c>
      <c r="N120" s="60">
        <v>0</v>
      </c>
      <c r="O120" s="60">
        <v>-0.6</v>
      </c>
      <c r="P120" s="60">
        <v>-0.6</v>
      </c>
      <c r="Q120" s="61"/>
      <c r="R120" s="61"/>
      <c r="S120" s="59" t="s">
        <v>264</v>
      </c>
      <c r="U120" s="53"/>
      <c r="V120" s="53"/>
      <c r="W120" s="53"/>
      <c r="X120" s="53"/>
      <c r="Y120" s="53"/>
      <c r="Z120" s="53"/>
      <c r="AA120" s="53"/>
      <c r="AB120" s="53"/>
      <c r="AC120" s="53"/>
      <c r="AD120" s="53"/>
      <c r="AE120" s="53"/>
      <c r="AF120" s="53"/>
      <c r="AG120" s="53"/>
    </row>
    <row r="121" spans="2:37" ht="15" customHeight="1" x14ac:dyDescent="0.25">
      <c r="B121" s="135" t="str">
        <f>HYPERLINK("https://www.pbo.gov.au/elections/2025-general-election/2025-election-commitments-costings/battery-and-e-waste-disposal", "ECR-2025-2330")</f>
        <v>ECR-2025-2330</v>
      </c>
      <c r="C121" s="59" t="s">
        <v>192</v>
      </c>
      <c r="D121" s="60">
        <v>-48.4</v>
      </c>
      <c r="E121" s="60">
        <v>-0.4</v>
      </c>
      <c r="F121" s="60">
        <v>-0.4</v>
      </c>
      <c r="G121" s="60">
        <v>-0.4</v>
      </c>
      <c r="H121" s="60">
        <v>-0.4</v>
      </c>
      <c r="I121" s="60">
        <v>-0.5</v>
      </c>
      <c r="J121" s="60">
        <v>-0.5</v>
      </c>
      <c r="K121" s="60">
        <v>-0.2</v>
      </c>
      <c r="L121" s="60">
        <v>-0.2</v>
      </c>
      <c r="M121" s="60">
        <v>-0.2</v>
      </c>
      <c r="N121" s="60">
        <v>-0.2</v>
      </c>
      <c r="O121" s="60">
        <v>-49.7</v>
      </c>
      <c r="P121" s="60">
        <v>-52</v>
      </c>
      <c r="Q121" s="61"/>
      <c r="R121" s="61"/>
      <c r="S121" s="59" t="s">
        <v>265</v>
      </c>
      <c r="U121" s="53"/>
      <c r="V121" s="53"/>
      <c r="W121" s="53"/>
      <c r="X121" s="53"/>
      <c r="Y121" s="53"/>
      <c r="Z121" s="53"/>
      <c r="AA121" s="53"/>
      <c r="AB121" s="53"/>
      <c r="AC121" s="53"/>
      <c r="AD121" s="53"/>
      <c r="AE121" s="53"/>
      <c r="AF121" s="53"/>
      <c r="AG121" s="53"/>
    </row>
    <row r="122" spans="2:37" ht="15" customHeight="1" x14ac:dyDescent="0.25">
      <c r="B122" s="135" t="str">
        <f>HYPERLINK("https://www.pbo.gov.au/elections/2025-general-election/2025-election-commitments-costings/boosting-perpetrator-responses-including-electronic-monitoring-and-ankle-bracelets-high-risk-perpetrators", "ECR-2025-2806")</f>
        <v>ECR-2025-2806</v>
      </c>
      <c r="C122" s="59" t="s">
        <v>198</v>
      </c>
      <c r="D122" s="60">
        <v>-3</v>
      </c>
      <c r="E122" s="60">
        <v>-3</v>
      </c>
      <c r="F122" s="60">
        <v>-2.6</v>
      </c>
      <c r="G122" s="60">
        <v>0</v>
      </c>
      <c r="H122" s="60">
        <v>0</v>
      </c>
      <c r="I122" s="60">
        <v>0</v>
      </c>
      <c r="J122" s="60">
        <v>0</v>
      </c>
      <c r="K122" s="60">
        <v>0</v>
      </c>
      <c r="L122" s="60">
        <v>0</v>
      </c>
      <c r="M122" s="60">
        <v>0</v>
      </c>
      <c r="N122" s="60">
        <v>0</v>
      </c>
      <c r="O122" s="60">
        <v>-8.6</v>
      </c>
      <c r="P122" s="60">
        <v>-8.6</v>
      </c>
      <c r="Q122" s="61"/>
      <c r="R122" s="61"/>
      <c r="S122" s="59" t="s">
        <v>266</v>
      </c>
      <c r="U122" s="53"/>
      <c r="V122" s="53"/>
      <c r="W122" s="53"/>
      <c r="X122" s="53"/>
      <c r="Y122" s="53"/>
      <c r="Z122" s="53"/>
      <c r="AA122" s="53"/>
      <c r="AB122" s="53"/>
      <c r="AC122" s="53"/>
      <c r="AD122" s="53"/>
      <c r="AE122" s="53"/>
      <c r="AF122" s="53"/>
      <c r="AG122" s="53"/>
    </row>
    <row r="123" spans="2:37" ht="15" customHeight="1" x14ac:dyDescent="0.25">
      <c r="B123" s="135" t="str">
        <f>HYPERLINK("https://www.pbo.gov.au/elections/2025-general-election/2025-election-commitments-costings/Cashless-Debit-Card-trial-sites", "ECR-2025-2293")</f>
        <v>ECR-2025-2293</v>
      </c>
      <c r="C123" s="59" t="s">
        <v>200</v>
      </c>
      <c r="D123" s="60">
        <v>-24</v>
      </c>
      <c r="E123" s="60">
        <v>-20.8</v>
      </c>
      <c r="F123" s="60">
        <v>-20.5</v>
      </c>
      <c r="G123" s="60">
        <v>-21.3</v>
      </c>
      <c r="H123" s="60">
        <v>-23.4</v>
      </c>
      <c r="I123" s="60">
        <v>-25.6</v>
      </c>
      <c r="J123" s="60">
        <v>-28.1</v>
      </c>
      <c r="K123" s="60">
        <v>-30.8</v>
      </c>
      <c r="L123" s="60">
        <v>-34</v>
      </c>
      <c r="M123" s="60">
        <v>-37.4</v>
      </c>
      <c r="N123" s="60">
        <v>-41.3</v>
      </c>
      <c r="O123" s="60">
        <v>-86.6</v>
      </c>
      <c r="P123" s="60">
        <v>-307.2</v>
      </c>
      <c r="Q123" s="61"/>
      <c r="R123" s="61"/>
      <c r="S123" s="59" t="s">
        <v>267</v>
      </c>
      <c r="U123" s="53"/>
      <c r="V123" s="53"/>
      <c r="W123" s="53"/>
      <c r="X123" s="53"/>
      <c r="Y123" s="53"/>
      <c r="Z123" s="53"/>
      <c r="AA123" s="53"/>
      <c r="AB123" s="53"/>
      <c r="AC123" s="53"/>
      <c r="AD123" s="53"/>
      <c r="AE123" s="53"/>
      <c r="AF123" s="53"/>
      <c r="AG123" s="53"/>
    </row>
    <row r="124" spans="2:37" ht="15" customHeight="1" x14ac:dyDescent="0.25">
      <c r="B124" s="135" t="str">
        <f>HYPERLINK("https://www.pbo.gov.au/elections/2025-general-election/2025-election-commitments-costings/Chinese%20Museum%20of%20Queensland%20%E2%80%93%20support", "ECR-2025-2892")</f>
        <v>ECR-2025-2892</v>
      </c>
      <c r="C124" s="59" t="s">
        <v>133</v>
      </c>
      <c r="D124" s="60">
        <v>-0.2</v>
      </c>
      <c r="E124" s="60">
        <v>0</v>
      </c>
      <c r="F124" s="60">
        <v>0</v>
      </c>
      <c r="G124" s="60">
        <v>0</v>
      </c>
      <c r="H124" s="60">
        <v>0</v>
      </c>
      <c r="I124" s="60">
        <v>0</v>
      </c>
      <c r="J124" s="60">
        <v>0</v>
      </c>
      <c r="K124" s="60">
        <v>0</v>
      </c>
      <c r="L124" s="60">
        <v>0</v>
      </c>
      <c r="M124" s="60">
        <v>0</v>
      </c>
      <c r="N124" s="60">
        <v>0</v>
      </c>
      <c r="O124" s="60">
        <v>-0.2</v>
      </c>
      <c r="P124" s="60">
        <v>-0.2</v>
      </c>
      <c r="Q124" s="61"/>
      <c r="R124" s="61"/>
      <c r="S124" s="59" t="s">
        <v>268</v>
      </c>
      <c r="U124" s="53"/>
      <c r="V124" s="53"/>
      <c r="W124" s="53"/>
      <c r="X124" s="53"/>
      <c r="Y124" s="53"/>
      <c r="Z124" s="53"/>
      <c r="AA124" s="53"/>
      <c r="AB124" s="53"/>
      <c r="AC124" s="53"/>
      <c r="AD124" s="53"/>
      <c r="AE124" s="53"/>
      <c r="AF124" s="53"/>
      <c r="AG124" s="53"/>
    </row>
    <row r="125" spans="2:37" ht="15" customHeight="1" x14ac:dyDescent="0.25">
      <c r="B125" s="135" t="str">
        <f>HYPERLINK("https://www.pbo.gov.au/elections/2025-general-election/2025-election-commitments-costings/clean4shore-program", "ECR-2025-2031")</f>
        <v>ECR-2025-2031</v>
      </c>
      <c r="C125" s="59" t="s">
        <v>190</v>
      </c>
      <c r="D125" s="60">
        <v>-0.1</v>
      </c>
      <c r="E125" s="60">
        <v>-0.2</v>
      </c>
      <c r="F125" s="60">
        <v>-0.2</v>
      </c>
      <c r="G125" s="60">
        <v>0</v>
      </c>
      <c r="H125" s="60">
        <v>0</v>
      </c>
      <c r="I125" s="60">
        <v>0</v>
      </c>
      <c r="J125" s="60">
        <v>0</v>
      </c>
      <c r="K125" s="60">
        <v>0</v>
      </c>
      <c r="L125" s="60">
        <v>0</v>
      </c>
      <c r="M125" s="60">
        <v>0</v>
      </c>
      <c r="N125" s="60">
        <v>0</v>
      </c>
      <c r="O125" s="60">
        <v>-0.5</v>
      </c>
      <c r="P125" s="60">
        <v>-0.5</v>
      </c>
      <c r="Q125" s="61"/>
      <c r="R125" s="61"/>
      <c r="S125" s="59" t="s">
        <v>269</v>
      </c>
      <c r="U125" s="53"/>
      <c r="V125" s="53"/>
      <c r="W125" s="53"/>
      <c r="X125" s="53"/>
      <c r="Y125" s="53"/>
      <c r="Z125" s="53"/>
      <c r="AA125" s="53"/>
      <c r="AB125" s="53"/>
      <c r="AC125" s="53"/>
      <c r="AD125" s="53"/>
      <c r="AE125" s="53"/>
      <c r="AF125" s="53"/>
      <c r="AG125" s="53"/>
    </row>
    <row r="126" spans="2:37" ht="15" customHeight="1" x14ac:dyDescent="0.25">
      <c r="B126" s="59" t="s">
        <v>108</v>
      </c>
      <c r="C126" s="59" t="s">
        <v>400</v>
      </c>
      <c r="D126" s="60">
        <v>0</v>
      </c>
      <c r="E126" s="60">
        <v>0</v>
      </c>
      <c r="F126" s="60">
        <v>0</v>
      </c>
      <c r="G126" s="60">
        <v>0</v>
      </c>
      <c r="H126" s="60">
        <v>0</v>
      </c>
      <c r="I126" s="60">
        <v>0</v>
      </c>
      <c r="J126" s="60">
        <v>0</v>
      </c>
      <c r="K126" s="60">
        <v>0</v>
      </c>
      <c r="L126" s="60">
        <v>0</v>
      </c>
      <c r="M126" s="60">
        <v>0</v>
      </c>
      <c r="N126" s="60">
        <v>0</v>
      </c>
      <c r="O126" s="60">
        <v>0</v>
      </c>
      <c r="P126" s="60">
        <v>0</v>
      </c>
      <c r="Q126" s="61"/>
      <c r="R126" s="61"/>
      <c r="S126" s="59" t="s">
        <v>261</v>
      </c>
      <c r="U126" s="53"/>
      <c r="V126" s="53"/>
      <c r="W126" s="53"/>
      <c r="X126" s="53"/>
      <c r="Y126" s="53"/>
      <c r="Z126" s="53"/>
      <c r="AA126" s="53"/>
      <c r="AB126" s="53"/>
      <c r="AC126" s="53"/>
      <c r="AD126" s="53"/>
      <c r="AE126" s="53"/>
      <c r="AF126" s="53"/>
      <c r="AG126" s="53"/>
    </row>
    <row r="127" spans="2:37" ht="15" customHeight="1" x14ac:dyDescent="0.25">
      <c r="B127" s="135" t="str">
        <f>HYPERLINK("https://www.pbo.gov.au/elections/2025-general-election/2025-election-commitments-costings/Community%20language%20schools%20%E2%80%93%20support", "ECR-2025-2482")</f>
        <v>ECR-2025-2482</v>
      </c>
      <c r="C127" s="59" t="s">
        <v>428</v>
      </c>
      <c r="D127" s="60">
        <v>-6.3</v>
      </c>
      <c r="E127" s="60">
        <v>-6.3</v>
      </c>
      <c r="F127" s="60">
        <v>-6.2</v>
      </c>
      <c r="G127" s="60">
        <v>-6.2</v>
      </c>
      <c r="H127" s="60">
        <v>0</v>
      </c>
      <c r="I127" s="60">
        <v>0</v>
      </c>
      <c r="J127" s="60">
        <v>0</v>
      </c>
      <c r="K127" s="60">
        <v>0</v>
      </c>
      <c r="L127" s="60">
        <v>0</v>
      </c>
      <c r="M127" s="60">
        <v>0</v>
      </c>
      <c r="N127" s="60">
        <v>0</v>
      </c>
      <c r="O127" s="60">
        <v>-25</v>
      </c>
      <c r="P127" s="60">
        <v>-25</v>
      </c>
      <c r="Q127" s="61"/>
      <c r="R127" s="61"/>
      <c r="S127" s="59" t="s">
        <v>270</v>
      </c>
      <c r="U127" s="53"/>
      <c r="V127" s="53"/>
      <c r="W127" s="53"/>
      <c r="X127" s="53"/>
      <c r="Y127" s="53"/>
      <c r="Z127" s="53"/>
      <c r="AA127" s="53"/>
      <c r="AB127" s="53"/>
      <c r="AC127" s="53"/>
      <c r="AD127" s="53"/>
      <c r="AE127" s="53"/>
      <c r="AF127" s="53"/>
      <c r="AG127" s="53"/>
    </row>
    <row r="128" spans="2:37" ht="15" customHeight="1" x14ac:dyDescent="0.25">
      <c r="B128" s="135" t="str">
        <f>HYPERLINK("https://www.pbo.gov.au/elections/2025-general-election/2025-election-commitments-costings/Conservation%20Volunteers%20Australia%20%E2%80%93%20support", "ECR-2025-2515")</f>
        <v>ECR-2025-2515</v>
      </c>
      <c r="C128" s="59" t="s">
        <v>130</v>
      </c>
      <c r="D128" s="60">
        <v>-13.5</v>
      </c>
      <c r="E128" s="60">
        <v>-12</v>
      </c>
      <c r="F128" s="60">
        <v>-3</v>
      </c>
      <c r="G128" s="60">
        <v>-3</v>
      </c>
      <c r="H128" s="60">
        <v>0</v>
      </c>
      <c r="I128" s="60">
        <v>0</v>
      </c>
      <c r="J128" s="60">
        <v>0</v>
      </c>
      <c r="K128" s="60">
        <v>0</v>
      </c>
      <c r="L128" s="60">
        <v>0</v>
      </c>
      <c r="M128" s="60">
        <v>0</v>
      </c>
      <c r="N128" s="60">
        <v>0</v>
      </c>
      <c r="O128" s="60">
        <v>-31.5</v>
      </c>
      <c r="P128" s="60">
        <v>-31.5</v>
      </c>
      <c r="Q128" s="61"/>
      <c r="R128" s="61"/>
      <c r="S128" s="59" t="s">
        <v>264</v>
      </c>
      <c r="U128" s="53"/>
      <c r="V128" s="53"/>
      <c r="W128" s="53"/>
      <c r="X128" s="53"/>
      <c r="Y128" s="53"/>
      <c r="Z128" s="53"/>
      <c r="AA128" s="53"/>
      <c r="AB128" s="53"/>
      <c r="AC128" s="53"/>
      <c r="AD128" s="53"/>
      <c r="AE128" s="53"/>
      <c r="AF128" s="53"/>
      <c r="AG128" s="53"/>
    </row>
    <row r="129" spans="2:33" ht="15" customHeight="1" x14ac:dyDescent="0.25">
      <c r="B129" s="135" t="str">
        <f>HYPERLINK("https://www.pbo.gov.au/elections/2025-general-election/2025-election-commitments-costings/Creative-Australia-redirect-towards-Melbourne-Jewish-Arts-Quarter-and-supporting-broadcasting", "ECR-2025-2661")</f>
        <v>ECR-2025-2661</v>
      </c>
      <c r="C129" s="59" t="s">
        <v>347</v>
      </c>
      <c r="D129" s="60">
        <v>33.200000000000003</v>
      </c>
      <c r="E129" s="60">
        <v>2</v>
      </c>
      <c r="F129" s="60">
        <v>1.1000000000000001</v>
      </c>
      <c r="G129" s="60">
        <v>7.5</v>
      </c>
      <c r="H129" s="60">
        <v>0</v>
      </c>
      <c r="I129" s="60">
        <v>0</v>
      </c>
      <c r="J129" s="60">
        <v>0</v>
      </c>
      <c r="K129" s="60">
        <v>0</v>
      </c>
      <c r="L129" s="60">
        <v>0</v>
      </c>
      <c r="M129" s="60">
        <v>0</v>
      </c>
      <c r="N129" s="60">
        <v>0</v>
      </c>
      <c r="O129" s="60">
        <v>43.8</v>
      </c>
      <c r="P129" s="60">
        <v>43.8</v>
      </c>
      <c r="Q129" s="61"/>
      <c r="R129" s="61"/>
      <c r="S129" s="59" t="s">
        <v>261</v>
      </c>
      <c r="U129" s="53"/>
      <c r="V129" s="53"/>
      <c r="W129" s="53"/>
      <c r="X129" s="53"/>
      <c r="Y129" s="53"/>
      <c r="Z129" s="53"/>
      <c r="AA129" s="53"/>
      <c r="AB129" s="53"/>
      <c r="AC129" s="53"/>
      <c r="AD129" s="53"/>
      <c r="AE129" s="53"/>
      <c r="AF129" s="53"/>
      <c r="AG129" s="53"/>
    </row>
    <row r="130" spans="2:33" ht="15" customHeight="1" x14ac:dyDescent="0.25">
      <c r="B130" s="135" t="str">
        <f>HYPERLINK("https://www.pbo.gov.au/elections/2025-general-election/2025-election-commitments-costings/Domestic%20violence%20community%20training%20grant%20program", "ECR-2025-2162")</f>
        <v>ECR-2025-2162</v>
      </c>
      <c r="C130" s="59" t="s">
        <v>429</v>
      </c>
      <c r="D130" s="60">
        <v>-2.5</v>
      </c>
      <c r="E130" s="60">
        <v>-2.5</v>
      </c>
      <c r="F130" s="60">
        <v>-2.5</v>
      </c>
      <c r="G130" s="60">
        <v>-2.5</v>
      </c>
      <c r="H130" s="60">
        <v>0</v>
      </c>
      <c r="I130" s="60">
        <v>0</v>
      </c>
      <c r="J130" s="60">
        <v>0</v>
      </c>
      <c r="K130" s="60">
        <v>0</v>
      </c>
      <c r="L130" s="60">
        <v>0</v>
      </c>
      <c r="M130" s="60">
        <v>0</v>
      </c>
      <c r="N130" s="60">
        <v>0</v>
      </c>
      <c r="O130" s="60">
        <v>-10</v>
      </c>
      <c r="P130" s="60">
        <v>-10</v>
      </c>
      <c r="Q130" s="61"/>
      <c r="R130" s="61"/>
      <c r="S130" s="59" t="s">
        <v>271</v>
      </c>
      <c r="U130" s="53"/>
      <c r="V130" s="53"/>
      <c r="W130" s="53"/>
      <c r="X130" s="53"/>
      <c r="Y130" s="53"/>
      <c r="Z130" s="53"/>
      <c r="AA130" s="53"/>
      <c r="AB130" s="53"/>
      <c r="AC130" s="53"/>
      <c r="AD130" s="53"/>
      <c r="AE130" s="53"/>
      <c r="AF130" s="53"/>
      <c r="AG130" s="53"/>
    </row>
    <row r="131" spans="2:33" ht="15" customHeight="1" x14ac:dyDescent="0.25">
      <c r="B131" s="135" t="str">
        <f>HYPERLINK("https://www.pbo.gov.au/elections/2025-general-election/2025-election-commitments-costings/Driver-Reviver-site-upgrades", "ECR-2025-2190")</f>
        <v>ECR-2025-2190</v>
      </c>
      <c r="C131" s="59" t="s">
        <v>135</v>
      </c>
      <c r="D131" s="60">
        <v>-3.4</v>
      </c>
      <c r="E131" s="60">
        <v>-3.3</v>
      </c>
      <c r="F131" s="60">
        <v>-3.3</v>
      </c>
      <c r="G131" s="60">
        <v>0</v>
      </c>
      <c r="H131" s="60">
        <v>0</v>
      </c>
      <c r="I131" s="60">
        <v>0</v>
      </c>
      <c r="J131" s="60">
        <v>0</v>
      </c>
      <c r="K131" s="60">
        <v>0</v>
      </c>
      <c r="L131" s="60">
        <v>0</v>
      </c>
      <c r="M131" s="60">
        <v>0</v>
      </c>
      <c r="N131" s="60">
        <v>0</v>
      </c>
      <c r="O131" s="60">
        <v>-10</v>
      </c>
      <c r="P131" s="60">
        <v>-10</v>
      </c>
      <c r="Q131" s="61"/>
      <c r="R131" s="61"/>
      <c r="S131" s="59" t="s">
        <v>272</v>
      </c>
      <c r="U131" s="53"/>
      <c r="V131" s="53"/>
      <c r="W131" s="53"/>
      <c r="X131" s="53"/>
      <c r="Y131" s="53"/>
      <c r="Z131" s="53"/>
      <c r="AA131" s="53"/>
      <c r="AB131" s="53"/>
      <c r="AC131" s="53"/>
      <c r="AD131" s="53"/>
      <c r="AE131" s="53"/>
      <c r="AF131" s="53"/>
      <c r="AG131" s="53"/>
    </row>
    <row r="132" spans="2:33" ht="15" customHeight="1" x14ac:dyDescent="0.25">
      <c r="B132" s="135" t="str">
        <f>HYPERLINK("https://www.pbo.gov.au/elections/2025-general-election/2025-election-commitments-costings/drug-detection-and-screening-infrastructure-investment", "ECR-2025-2611")</f>
        <v>ECR-2025-2611</v>
      </c>
      <c r="C132" s="59" t="s">
        <v>191</v>
      </c>
      <c r="D132" s="60">
        <v>-17.7</v>
      </c>
      <c r="E132" s="60">
        <v>-17.3</v>
      </c>
      <c r="F132" s="60">
        <v>-17.2</v>
      </c>
      <c r="G132" s="60">
        <v>0</v>
      </c>
      <c r="H132" s="60">
        <v>0</v>
      </c>
      <c r="I132" s="60">
        <v>0</v>
      </c>
      <c r="J132" s="60">
        <v>0</v>
      </c>
      <c r="K132" s="60">
        <v>0</v>
      </c>
      <c r="L132" s="60">
        <v>0</v>
      </c>
      <c r="M132" s="60">
        <v>0</v>
      </c>
      <c r="N132" s="60">
        <v>0</v>
      </c>
      <c r="O132" s="60">
        <v>-52.2</v>
      </c>
      <c r="P132" s="60">
        <v>-52.2</v>
      </c>
      <c r="Q132" s="61"/>
      <c r="R132" s="61"/>
      <c r="S132" s="59" t="s">
        <v>273</v>
      </c>
      <c r="U132" s="53"/>
      <c r="V132" s="53"/>
      <c r="W132" s="53"/>
      <c r="X132" s="53"/>
      <c r="Y132" s="53"/>
      <c r="Z132" s="53"/>
      <c r="AA132" s="53"/>
      <c r="AB132" s="53"/>
      <c r="AC132" s="53"/>
      <c r="AD132" s="53"/>
      <c r="AE132" s="53"/>
      <c r="AF132" s="53"/>
      <c r="AG132" s="53"/>
    </row>
    <row r="133" spans="2:33" ht="15" customHeight="1" x14ac:dyDescent="0.25">
      <c r="B133" s="59" t="s">
        <v>106</v>
      </c>
      <c r="C133" s="59" t="s">
        <v>401</v>
      </c>
      <c r="D133" s="60">
        <v>0</v>
      </c>
      <c r="E133" s="60">
        <v>0</v>
      </c>
      <c r="F133" s="60">
        <v>0</v>
      </c>
      <c r="G133" s="60">
        <v>0</v>
      </c>
      <c r="H133" s="60">
        <v>0</v>
      </c>
      <c r="I133" s="60">
        <v>0</v>
      </c>
      <c r="J133" s="60">
        <v>0</v>
      </c>
      <c r="K133" s="60">
        <v>0</v>
      </c>
      <c r="L133" s="60">
        <v>0</v>
      </c>
      <c r="M133" s="60">
        <v>0</v>
      </c>
      <c r="N133" s="60">
        <v>0</v>
      </c>
      <c r="O133" s="60">
        <v>0</v>
      </c>
      <c r="P133" s="60">
        <v>0</v>
      </c>
      <c r="Q133" s="61"/>
      <c r="R133" s="61"/>
      <c r="S133" s="59" t="s">
        <v>261</v>
      </c>
      <c r="U133" s="53"/>
      <c r="V133" s="53"/>
      <c r="W133" s="53"/>
      <c r="X133" s="53"/>
      <c r="Y133" s="53"/>
      <c r="Z133" s="53"/>
      <c r="AA133" s="53"/>
      <c r="AB133" s="53"/>
      <c r="AC133" s="53"/>
      <c r="AD133" s="53"/>
      <c r="AE133" s="53"/>
      <c r="AF133" s="53"/>
      <c r="AG133" s="53"/>
    </row>
    <row r="134" spans="2:33" ht="15" customHeight="1" x14ac:dyDescent="0.25">
      <c r="B134" s="135" t="str">
        <f>HYPERLINK("https://www.pbo.gov.au/elections/2025-general-election/2025-election-commitments-costings/Expanding%20the%20PPP500%20Scheme%20to%20support%20vulnerable%20parties%20seeking%20a%20property%20settlement", "ECR-2025-2685")</f>
        <v>ECR-2025-2685</v>
      </c>
      <c r="C134" s="59" t="s">
        <v>139</v>
      </c>
      <c r="D134" s="60">
        <v>-6.8</v>
      </c>
      <c r="E134" s="60">
        <v>-6.8</v>
      </c>
      <c r="F134" s="60">
        <v>-6.9</v>
      </c>
      <c r="G134" s="60">
        <v>-6.9</v>
      </c>
      <c r="H134" s="60">
        <v>-6.9</v>
      </c>
      <c r="I134" s="60">
        <v>-6.9</v>
      </c>
      <c r="J134" s="60">
        <v>-6.9</v>
      </c>
      <c r="K134" s="60">
        <v>-6.9</v>
      </c>
      <c r="L134" s="60">
        <v>-6.9</v>
      </c>
      <c r="M134" s="60">
        <v>-6.9</v>
      </c>
      <c r="N134" s="60">
        <v>-6.9</v>
      </c>
      <c r="O134" s="60">
        <v>-27.4</v>
      </c>
      <c r="P134" s="60">
        <v>-75.7</v>
      </c>
      <c r="Q134" s="61"/>
      <c r="R134" s="61"/>
      <c r="S134" s="59" t="s">
        <v>266</v>
      </c>
      <c r="U134" s="53"/>
      <c r="V134" s="53"/>
      <c r="W134" s="53"/>
      <c r="X134" s="53"/>
      <c r="Y134" s="53"/>
      <c r="Z134" s="53"/>
      <c r="AA134" s="53"/>
      <c r="AB134" s="53"/>
      <c r="AC134" s="53"/>
      <c r="AD134" s="53"/>
      <c r="AE134" s="53"/>
      <c r="AF134" s="53"/>
      <c r="AG134" s="53"/>
    </row>
    <row r="135" spans="2:33" ht="15" customHeight="1" x14ac:dyDescent="0.25">
      <c r="B135" s="135" t="str">
        <f>HYPERLINK("https://www.pbo.gov.au/elections/2025-general-election/2025-election-commitments-costings/extend-domestic-family-and-sexual-violence-commissions-terms-reference", "ECR-2025-2825")</f>
        <v>ECR-2025-2825</v>
      </c>
      <c r="C135" s="59" t="s">
        <v>430</v>
      </c>
      <c r="D135" s="60">
        <v>-2.2999999999999998</v>
      </c>
      <c r="E135" s="60">
        <v>-2.4</v>
      </c>
      <c r="F135" s="60">
        <v>-2.4</v>
      </c>
      <c r="G135" s="60">
        <v>-2.4</v>
      </c>
      <c r="H135" s="60">
        <v>-2.4</v>
      </c>
      <c r="I135" s="60">
        <v>-2.5</v>
      </c>
      <c r="J135" s="60">
        <v>-2.5</v>
      </c>
      <c r="K135" s="60">
        <v>-2.5</v>
      </c>
      <c r="L135" s="60">
        <v>-2.6</v>
      </c>
      <c r="M135" s="60">
        <v>-2.6</v>
      </c>
      <c r="N135" s="60">
        <v>-2.6</v>
      </c>
      <c r="O135" s="60">
        <v>-9.5</v>
      </c>
      <c r="P135" s="60">
        <v>-27.2</v>
      </c>
      <c r="Q135" s="61"/>
      <c r="R135" s="61"/>
      <c r="S135" s="59" t="s">
        <v>266</v>
      </c>
      <c r="U135" s="53"/>
      <c r="V135" s="53"/>
      <c r="W135" s="53"/>
      <c r="X135" s="53"/>
      <c r="Y135" s="53"/>
      <c r="Z135" s="53"/>
      <c r="AA135" s="53"/>
      <c r="AB135" s="53"/>
      <c r="AC135" s="53"/>
      <c r="AD135" s="53"/>
      <c r="AE135" s="53"/>
      <c r="AF135" s="53"/>
      <c r="AG135" s="53"/>
    </row>
    <row r="136" spans="2:33" ht="15" customHeight="1" x14ac:dyDescent="0.25">
      <c r="B136" s="59" t="s">
        <v>109</v>
      </c>
      <c r="C136" s="59" t="s">
        <v>402</v>
      </c>
      <c r="D136" s="60">
        <v>0</v>
      </c>
      <c r="E136" s="60">
        <v>0</v>
      </c>
      <c r="F136" s="60">
        <v>0</v>
      </c>
      <c r="G136" s="60">
        <v>0</v>
      </c>
      <c r="H136" s="60">
        <v>0</v>
      </c>
      <c r="I136" s="60">
        <v>0</v>
      </c>
      <c r="J136" s="60">
        <v>0</v>
      </c>
      <c r="K136" s="60">
        <v>0</v>
      </c>
      <c r="L136" s="60">
        <v>0</v>
      </c>
      <c r="M136" s="60">
        <v>0</v>
      </c>
      <c r="N136" s="60">
        <v>0</v>
      </c>
      <c r="O136" s="60">
        <v>0</v>
      </c>
      <c r="P136" s="60">
        <v>0</v>
      </c>
      <c r="Q136" s="61"/>
      <c r="R136" s="61"/>
      <c r="S136" s="59" t="s">
        <v>274</v>
      </c>
      <c r="U136" s="53"/>
      <c r="V136" s="53"/>
      <c r="W136" s="53"/>
      <c r="X136" s="53"/>
      <c r="Y136" s="53"/>
      <c r="Z136" s="53"/>
      <c r="AA136" s="53"/>
      <c r="AB136" s="53"/>
      <c r="AC136" s="53"/>
      <c r="AD136" s="53"/>
      <c r="AE136" s="53"/>
      <c r="AF136" s="53"/>
      <c r="AG136" s="53"/>
    </row>
    <row r="137" spans="2:33" ht="15" customHeight="1" x14ac:dyDescent="0.25">
      <c r="B137" s="135" t="str">
        <f>HYPERLINK("https://www.pbo.gov.au/elections/2025-general-election/2025-election-commitments-costings/Fast%20Track%20scheme%20within%20the%20Administrative%20Review%20Tribunal%20%E2%80%93%202%20year%20trial", "ECR-2025-2742")</f>
        <v>ECR-2025-2742</v>
      </c>
      <c r="C137" s="59" t="s">
        <v>199</v>
      </c>
      <c r="D137" s="60">
        <v>-2</v>
      </c>
      <c r="E137" s="60">
        <v>-5</v>
      </c>
      <c r="F137" s="60">
        <v>-4.5</v>
      </c>
      <c r="G137" s="60">
        <v>0</v>
      </c>
      <c r="H137" s="60">
        <v>0</v>
      </c>
      <c r="I137" s="60">
        <v>0</v>
      </c>
      <c r="J137" s="60">
        <v>0</v>
      </c>
      <c r="K137" s="60">
        <v>0</v>
      </c>
      <c r="L137" s="60">
        <v>0</v>
      </c>
      <c r="M137" s="60">
        <v>0</v>
      </c>
      <c r="N137" s="60">
        <v>0</v>
      </c>
      <c r="O137" s="60">
        <v>-11.5</v>
      </c>
      <c r="P137" s="60">
        <v>-11.5</v>
      </c>
      <c r="Q137" s="61"/>
      <c r="R137" s="61"/>
      <c r="S137" s="59" t="s">
        <v>263</v>
      </c>
      <c r="U137" s="53"/>
      <c r="V137" s="53"/>
      <c r="W137" s="53"/>
      <c r="X137" s="53"/>
      <c r="Y137" s="53"/>
      <c r="Z137" s="53"/>
      <c r="AA137" s="53"/>
      <c r="AB137" s="53"/>
      <c r="AC137" s="53"/>
      <c r="AD137" s="53"/>
      <c r="AE137" s="53"/>
      <c r="AF137" s="53"/>
      <c r="AG137" s="53"/>
    </row>
    <row r="138" spans="2:33" ht="15" customHeight="1" x14ac:dyDescent="0.25">
      <c r="B138" s="135" t="str">
        <f>HYPERLINK("https://www.pbo.gov.au/elections/2025-general-election/2025-election-commitments-costings/Funding%20for%20Makarrata%2C%20Treaty%20and%20%E2%80%98Truth%20Telling%E2%80%99%20%E2%80%93%20redirect%20to%20Indigenous%20Affairs%20priorities", "ECR-2025-2342")</f>
        <v>ECR-2025-2342</v>
      </c>
      <c r="C138" s="59" t="s">
        <v>132</v>
      </c>
      <c r="D138" s="60">
        <v>26</v>
      </c>
      <c r="E138" s="60">
        <v>0</v>
      </c>
      <c r="F138" s="60">
        <v>0</v>
      </c>
      <c r="G138" s="60">
        <v>0</v>
      </c>
      <c r="H138" s="60">
        <v>0</v>
      </c>
      <c r="I138" s="60">
        <v>0</v>
      </c>
      <c r="J138" s="60">
        <v>0</v>
      </c>
      <c r="K138" s="60">
        <v>0</v>
      </c>
      <c r="L138" s="60">
        <v>0</v>
      </c>
      <c r="M138" s="60">
        <v>0</v>
      </c>
      <c r="N138" s="60">
        <v>0</v>
      </c>
      <c r="O138" s="60">
        <v>26</v>
      </c>
      <c r="P138" s="60">
        <v>26</v>
      </c>
      <c r="Q138" s="61"/>
      <c r="R138" s="61"/>
      <c r="S138" s="59" t="s">
        <v>261</v>
      </c>
      <c r="U138" s="53"/>
      <c r="V138" s="53"/>
      <c r="W138" s="53"/>
      <c r="X138" s="53"/>
      <c r="Y138" s="53"/>
      <c r="Z138" s="53"/>
      <c r="AA138" s="53"/>
      <c r="AB138" s="53"/>
      <c r="AC138" s="53"/>
      <c r="AD138" s="53"/>
      <c r="AE138" s="53"/>
      <c r="AF138" s="53"/>
      <c r="AG138" s="53"/>
    </row>
    <row r="139" spans="2:33" ht="15" customHeight="1" x14ac:dyDescent="0.25">
      <c r="B139" s="135" t="str">
        <f>HYPERLINK("https://www.pbo.gov.au/elections/2025-general-election/2025-election-commitments-costings/headstone-project-deductible-gift-recipient-status", "ECR-2025-2336")</f>
        <v>ECR-2025-2336</v>
      </c>
      <c r="C139" s="59" t="s">
        <v>431</v>
      </c>
      <c r="D139" s="60">
        <v>0</v>
      </c>
      <c r="E139" s="60" t="s">
        <v>12</v>
      </c>
      <c r="F139" s="60" t="s">
        <v>12</v>
      </c>
      <c r="G139" s="60" t="s">
        <v>12</v>
      </c>
      <c r="H139" s="60" t="s">
        <v>12</v>
      </c>
      <c r="I139" s="60" t="s">
        <v>12</v>
      </c>
      <c r="J139" s="60" t="s">
        <v>12</v>
      </c>
      <c r="K139" s="60" t="s">
        <v>12</v>
      </c>
      <c r="L139" s="60" t="s">
        <v>12</v>
      </c>
      <c r="M139" s="60" t="s">
        <v>12</v>
      </c>
      <c r="N139" s="60" t="s">
        <v>12</v>
      </c>
      <c r="O139" s="60">
        <v>0</v>
      </c>
      <c r="P139" s="60">
        <v>0</v>
      </c>
      <c r="Q139" s="61"/>
      <c r="R139" s="61"/>
      <c r="S139" s="59" t="s">
        <v>275</v>
      </c>
      <c r="U139" s="53"/>
      <c r="V139" s="53"/>
      <c r="W139" s="53"/>
      <c r="X139" s="53"/>
      <c r="Y139" s="53"/>
      <c r="Z139" s="53"/>
      <c r="AA139" s="53"/>
      <c r="AB139" s="53"/>
      <c r="AC139" s="53"/>
      <c r="AD139" s="53"/>
      <c r="AE139" s="53"/>
      <c r="AF139" s="53"/>
      <c r="AG139" s="53"/>
    </row>
    <row r="140" spans="2:33" ht="15" customHeight="1" x14ac:dyDescent="0.25">
      <c r="B140" s="135" t="str">
        <f>HYPERLINK("https://www.pbo.gov.au/elections/2025-general-election/2025-election-commitments-costings/increase-defence-spending-including-investing-fourth-F-35A-lightning-squadron", "ECR-2025-2734")</f>
        <v>ECR-2025-2734</v>
      </c>
      <c r="C140" s="59" t="s">
        <v>432</v>
      </c>
      <c r="D140" s="60">
        <v>-200</v>
      </c>
      <c r="E140" s="60">
        <v>-2950</v>
      </c>
      <c r="F140" s="60">
        <v>-3850</v>
      </c>
      <c r="G140" s="60">
        <v>-5700</v>
      </c>
      <c r="H140" s="60">
        <v>-7920</v>
      </c>
      <c r="I140" s="60">
        <v>-11510</v>
      </c>
      <c r="J140" s="60">
        <v>-15450</v>
      </c>
      <c r="K140" s="60">
        <v>-20420</v>
      </c>
      <c r="L140" s="60">
        <v>-25510</v>
      </c>
      <c r="M140" s="60">
        <v>-30700</v>
      </c>
      <c r="N140" s="60">
        <v>-32220</v>
      </c>
      <c r="O140" s="60">
        <v>-12700</v>
      </c>
      <c r="P140" s="60">
        <v>-156430</v>
      </c>
      <c r="Q140" s="61"/>
      <c r="R140" s="61"/>
      <c r="S140" s="59" t="s">
        <v>276</v>
      </c>
      <c r="U140" s="53"/>
      <c r="V140" s="53"/>
      <c r="W140" s="53"/>
      <c r="X140" s="53"/>
      <c r="Y140" s="53"/>
      <c r="Z140" s="53"/>
      <c r="AA140" s="53"/>
      <c r="AB140" s="53"/>
      <c r="AC140" s="53"/>
      <c r="AD140" s="53"/>
      <c r="AE140" s="53"/>
      <c r="AF140" s="53"/>
      <c r="AG140" s="53"/>
    </row>
    <row r="141" spans="2:33" ht="15" customHeight="1" x14ac:dyDescent="0.25">
      <c r="B141" s="135" t="str">
        <f>HYPERLINK("https://www.pbo.gov.au/elections/2025-general-election/2025-election-commitments-costings/Indigenous%20Advancement%20Strategy%20%E2%80%93%20reallocations", "ECR-2025-2385")</f>
        <v>ECR-2025-2385</v>
      </c>
      <c r="C141" s="59" t="s">
        <v>226</v>
      </c>
      <c r="D141" s="60">
        <v>14.9</v>
      </c>
      <c r="E141" s="60">
        <v>4.5999999999999996</v>
      </c>
      <c r="F141" s="60">
        <v>4.5999999999999996</v>
      </c>
      <c r="G141" s="60">
        <v>4.7</v>
      </c>
      <c r="H141" s="60">
        <v>4.7</v>
      </c>
      <c r="I141" s="60">
        <v>4.7</v>
      </c>
      <c r="J141" s="60">
        <v>4.7</v>
      </c>
      <c r="K141" s="60">
        <v>4.7</v>
      </c>
      <c r="L141" s="60">
        <v>4.7</v>
      </c>
      <c r="M141" s="60">
        <v>4.7</v>
      </c>
      <c r="N141" s="60">
        <v>4.7</v>
      </c>
      <c r="O141" s="60">
        <v>28.8</v>
      </c>
      <c r="P141" s="60">
        <v>61.7</v>
      </c>
      <c r="Q141" s="61"/>
      <c r="R141" s="61"/>
      <c r="S141" s="59" t="s">
        <v>261</v>
      </c>
      <c r="U141" s="53"/>
      <c r="V141" s="53"/>
      <c r="W141" s="53"/>
      <c r="X141" s="53"/>
      <c r="Y141" s="53"/>
      <c r="Z141" s="53"/>
      <c r="AA141" s="53"/>
      <c r="AB141" s="53"/>
      <c r="AC141" s="53"/>
      <c r="AD141" s="53"/>
      <c r="AE141" s="53"/>
      <c r="AF141" s="53"/>
      <c r="AG141" s="53"/>
    </row>
    <row r="142" spans="2:33" ht="15" customHeight="1" x14ac:dyDescent="0.25">
      <c r="B142" s="135" t="str">
        <f>HYPERLINK("https://www.pbo.gov.au/elections/2025-general-election/2025-election-commitments-costings/Investing%20in%20safer%20and%20more%20connected%20communities", "ECR-2025-2352")</f>
        <v>ECR-2025-2352</v>
      </c>
      <c r="C142" s="59" t="s">
        <v>225</v>
      </c>
      <c r="D142" s="60">
        <v>-54.8</v>
      </c>
      <c r="E142" s="60">
        <v>-35.9</v>
      </c>
      <c r="F142" s="60">
        <v>-15.6</v>
      </c>
      <c r="G142" s="60">
        <v>0</v>
      </c>
      <c r="H142" s="60">
        <v>0</v>
      </c>
      <c r="I142" s="60">
        <v>0</v>
      </c>
      <c r="J142" s="60">
        <v>0</v>
      </c>
      <c r="K142" s="60">
        <v>0</v>
      </c>
      <c r="L142" s="60">
        <v>0</v>
      </c>
      <c r="M142" s="60">
        <v>0</v>
      </c>
      <c r="N142" s="60">
        <v>0</v>
      </c>
      <c r="O142" s="60">
        <v>-106.3</v>
      </c>
      <c r="P142" s="60">
        <v>-106.3</v>
      </c>
      <c r="Q142" s="61"/>
      <c r="R142" s="61"/>
      <c r="S142" s="59" t="s">
        <v>261</v>
      </c>
      <c r="U142" s="53"/>
      <c r="V142" s="53"/>
      <c r="W142" s="53"/>
      <c r="X142" s="53"/>
      <c r="Y142" s="53"/>
      <c r="Z142" s="53"/>
      <c r="AA142" s="53"/>
      <c r="AB142" s="53"/>
      <c r="AC142" s="53"/>
      <c r="AD142" s="53"/>
      <c r="AE142" s="53"/>
      <c r="AF142" s="53"/>
      <c r="AG142" s="53"/>
    </row>
    <row r="143" spans="2:33" ht="15" customHeight="1" x14ac:dyDescent="0.25">
      <c r="B143" s="135" t="str">
        <f>HYPERLINK("https://www.pbo.gov.au/elections/2025-general-election/2025-election-commitments-costings/invictus-games-support", "ECR-2025-2502")</f>
        <v>ECR-2025-2502</v>
      </c>
      <c r="C143" s="59" t="s">
        <v>127</v>
      </c>
      <c r="D143" s="60">
        <v>-2.4</v>
      </c>
      <c r="E143" s="60">
        <v>-5.8</v>
      </c>
      <c r="F143" s="60">
        <v>0</v>
      </c>
      <c r="G143" s="60">
        <v>0</v>
      </c>
      <c r="H143" s="60">
        <v>0</v>
      </c>
      <c r="I143" s="60">
        <v>0</v>
      </c>
      <c r="J143" s="60">
        <v>0</v>
      </c>
      <c r="K143" s="60">
        <v>0</v>
      </c>
      <c r="L143" s="60">
        <v>0</v>
      </c>
      <c r="M143" s="60">
        <v>0</v>
      </c>
      <c r="N143" s="60">
        <v>0</v>
      </c>
      <c r="O143" s="60">
        <v>-8.1999999999999993</v>
      </c>
      <c r="P143" s="60">
        <v>-8.1999999999999993</v>
      </c>
      <c r="Q143" s="61"/>
      <c r="R143" s="61"/>
      <c r="S143" s="59" t="s">
        <v>277</v>
      </c>
      <c r="U143" s="53"/>
      <c r="V143" s="53"/>
      <c r="W143" s="53"/>
      <c r="X143" s="53"/>
      <c r="Y143" s="53"/>
      <c r="Z143" s="53"/>
      <c r="AA143" s="53"/>
      <c r="AB143" s="53"/>
      <c r="AC143" s="53"/>
      <c r="AD143" s="53"/>
      <c r="AE143" s="53"/>
      <c r="AF143" s="53"/>
      <c r="AG143" s="53"/>
    </row>
    <row r="144" spans="2:33" ht="15" customHeight="1" x14ac:dyDescent="0.25">
      <c r="B144" s="135" t="str">
        <f>HYPERLINK("https://www.pbo.gov.au/elections/2025-general-election/2025-election-commitments-costings/joint-taskforce-investigate-union-corruption-and-links-organised-crime-construction-industry", "ECR-2025-2726")</f>
        <v>ECR-2025-2726</v>
      </c>
      <c r="C144" s="59" t="s">
        <v>140</v>
      </c>
      <c r="D144" s="60">
        <v>-6</v>
      </c>
      <c r="E144" s="60">
        <v>-6.1</v>
      </c>
      <c r="F144" s="60">
        <v>-6.2</v>
      </c>
      <c r="G144" s="60">
        <v>0</v>
      </c>
      <c r="H144" s="60">
        <v>0</v>
      </c>
      <c r="I144" s="60">
        <v>0</v>
      </c>
      <c r="J144" s="60">
        <v>0</v>
      </c>
      <c r="K144" s="60">
        <v>0</v>
      </c>
      <c r="L144" s="60">
        <v>0</v>
      </c>
      <c r="M144" s="60">
        <v>0</v>
      </c>
      <c r="N144" s="60">
        <v>0</v>
      </c>
      <c r="O144" s="60">
        <v>-18.3</v>
      </c>
      <c r="P144" s="60">
        <v>-18.3</v>
      </c>
      <c r="Q144" s="61"/>
      <c r="R144" s="61"/>
      <c r="S144" s="59" t="s">
        <v>278</v>
      </c>
      <c r="U144" s="53"/>
      <c r="V144" s="53"/>
      <c r="W144" s="53"/>
      <c r="X144" s="53"/>
      <c r="Y144" s="53"/>
      <c r="Z144" s="53"/>
      <c r="AA144" s="53"/>
      <c r="AB144" s="53"/>
      <c r="AC144" s="53"/>
      <c r="AD144" s="53"/>
      <c r="AE144" s="53"/>
      <c r="AF144" s="53"/>
      <c r="AG144" s="53"/>
    </row>
    <row r="145" spans="2:33" ht="15" customHeight="1" x14ac:dyDescent="0.25">
      <c r="B145" s="135" t="str">
        <f>HYPERLINK("https://www.pbo.gov.au/elections/2025-general-election/2025-election-commitments-costings/Judicial%20inquiry%20into%20anti-Semitism%20at%20universities", "ECR-2025-2582")</f>
        <v>ECR-2025-2582</v>
      </c>
      <c r="C145" s="59" t="s">
        <v>128</v>
      </c>
      <c r="D145" s="60">
        <v>-4.2</v>
      </c>
      <c r="E145" s="60">
        <v>0</v>
      </c>
      <c r="F145" s="60">
        <v>0</v>
      </c>
      <c r="G145" s="60">
        <v>0</v>
      </c>
      <c r="H145" s="60">
        <v>0</v>
      </c>
      <c r="I145" s="60">
        <v>0</v>
      </c>
      <c r="J145" s="60">
        <v>0</v>
      </c>
      <c r="K145" s="60">
        <v>0</v>
      </c>
      <c r="L145" s="60">
        <v>0</v>
      </c>
      <c r="M145" s="60">
        <v>0</v>
      </c>
      <c r="N145" s="60">
        <v>0</v>
      </c>
      <c r="O145" s="60">
        <v>-4.2</v>
      </c>
      <c r="P145" s="60">
        <v>-4.2</v>
      </c>
      <c r="Q145" s="61"/>
      <c r="R145" s="61"/>
      <c r="S145" s="59" t="s">
        <v>262</v>
      </c>
      <c r="U145" s="53"/>
      <c r="V145" s="53"/>
      <c r="W145" s="53"/>
      <c r="X145" s="53"/>
      <c r="Y145" s="53"/>
      <c r="Z145" s="53"/>
      <c r="AA145" s="53"/>
      <c r="AB145" s="53"/>
      <c r="AC145" s="53"/>
      <c r="AD145" s="53"/>
      <c r="AE145" s="53"/>
      <c r="AF145" s="53"/>
      <c r="AG145" s="53"/>
    </row>
    <row r="146" spans="2:33" ht="15" customHeight="1" x14ac:dyDescent="0.25">
      <c r="B146" s="59" t="s">
        <v>104</v>
      </c>
      <c r="C146" s="59" t="s">
        <v>403</v>
      </c>
      <c r="D146" s="60">
        <v>0</v>
      </c>
      <c r="E146" s="60">
        <v>0</v>
      </c>
      <c r="F146" s="60">
        <v>0</v>
      </c>
      <c r="G146" s="60">
        <v>0</v>
      </c>
      <c r="H146" s="60">
        <v>0</v>
      </c>
      <c r="I146" s="60">
        <v>0</v>
      </c>
      <c r="J146" s="60">
        <v>0</v>
      </c>
      <c r="K146" s="60">
        <v>0</v>
      </c>
      <c r="L146" s="60">
        <v>0</v>
      </c>
      <c r="M146" s="60">
        <v>0</v>
      </c>
      <c r="N146" s="60">
        <v>0</v>
      </c>
      <c r="O146" s="60">
        <v>0</v>
      </c>
      <c r="P146" s="60">
        <v>0</v>
      </c>
      <c r="Q146" s="61"/>
      <c r="R146" s="61"/>
      <c r="S146" s="59" t="s">
        <v>279</v>
      </c>
      <c r="U146" s="53"/>
      <c r="V146" s="53"/>
      <c r="W146" s="53"/>
      <c r="X146" s="53"/>
      <c r="Y146" s="53"/>
      <c r="Z146" s="53"/>
      <c r="AA146" s="53"/>
      <c r="AB146" s="53"/>
      <c r="AC146" s="53"/>
      <c r="AD146" s="53"/>
      <c r="AE146" s="53"/>
      <c r="AF146" s="53"/>
      <c r="AG146" s="53"/>
    </row>
    <row r="147" spans="2:33" ht="15" customHeight="1" x14ac:dyDescent="0.25">
      <c r="B147" s="135" t="str">
        <f>HYPERLINK("https://www.pbo.gov.au/elections/2025-general-election/2025-election-commitments-costings/Men%27s-mental-health-additional-support-Movember-and-Men%27s-Sheds", "ECR-2025-2268")</f>
        <v>ECR-2025-2268</v>
      </c>
      <c r="C147" s="59" t="s">
        <v>131</v>
      </c>
      <c r="D147" s="60">
        <v>-8</v>
      </c>
      <c r="E147" s="60">
        <v>-8</v>
      </c>
      <c r="F147" s="60">
        <v>-8</v>
      </c>
      <c r="G147" s="60">
        <v>-8</v>
      </c>
      <c r="H147" s="60">
        <v>0</v>
      </c>
      <c r="I147" s="60">
        <v>0</v>
      </c>
      <c r="J147" s="60">
        <v>0</v>
      </c>
      <c r="K147" s="60">
        <v>0</v>
      </c>
      <c r="L147" s="60">
        <v>0</v>
      </c>
      <c r="M147" s="60">
        <v>0</v>
      </c>
      <c r="N147" s="60">
        <v>0</v>
      </c>
      <c r="O147" s="60">
        <v>-32</v>
      </c>
      <c r="P147" s="60">
        <v>-32</v>
      </c>
      <c r="Q147" s="61"/>
      <c r="R147" s="61"/>
      <c r="S147" s="59" t="s">
        <v>280</v>
      </c>
      <c r="U147" s="53"/>
      <c r="V147" s="53"/>
      <c r="W147" s="53"/>
      <c r="X147" s="53"/>
      <c r="Y147" s="53"/>
      <c r="Z147" s="53"/>
      <c r="AA147" s="53"/>
      <c r="AB147" s="53"/>
      <c r="AC147" s="53"/>
      <c r="AD147" s="53"/>
      <c r="AE147" s="53"/>
      <c r="AF147" s="53"/>
      <c r="AG147" s="53"/>
    </row>
    <row r="148" spans="2:33" ht="15" customHeight="1" x14ac:dyDescent="0.25">
      <c r="B148" s="135" t="str">
        <f>HYPERLINK("https://www.pbo.gov.au/elections/2025-general-election/2025-election-commitments-costings/national-child-sex-offender-register-one-year-trial", "ECR-2025-2319")</f>
        <v>ECR-2025-2319</v>
      </c>
      <c r="C148" s="59" t="s">
        <v>136</v>
      </c>
      <c r="D148" s="60">
        <v>-21.3</v>
      </c>
      <c r="E148" s="60">
        <v>0</v>
      </c>
      <c r="F148" s="60">
        <v>0</v>
      </c>
      <c r="G148" s="60">
        <v>0</v>
      </c>
      <c r="H148" s="60">
        <v>0</v>
      </c>
      <c r="I148" s="60">
        <v>0</v>
      </c>
      <c r="J148" s="60">
        <v>0</v>
      </c>
      <c r="K148" s="60">
        <v>0</v>
      </c>
      <c r="L148" s="60">
        <v>0</v>
      </c>
      <c r="M148" s="60">
        <v>0</v>
      </c>
      <c r="N148" s="60">
        <v>0</v>
      </c>
      <c r="O148" s="60">
        <v>-21.3</v>
      </c>
      <c r="P148" s="60">
        <v>-21.3</v>
      </c>
      <c r="Q148" s="64"/>
      <c r="R148" s="64"/>
      <c r="S148" s="59" t="s">
        <v>281</v>
      </c>
      <c r="U148" s="53"/>
      <c r="V148" s="53"/>
      <c r="W148" s="53"/>
      <c r="X148" s="53"/>
      <c r="Y148" s="53"/>
      <c r="Z148" s="53"/>
      <c r="AA148" s="53"/>
      <c r="AB148" s="53"/>
      <c r="AC148" s="53"/>
      <c r="AD148" s="53"/>
      <c r="AE148" s="53"/>
      <c r="AF148" s="53"/>
      <c r="AG148" s="53"/>
    </row>
    <row r="149" spans="2:33" ht="15" customHeight="1" x14ac:dyDescent="0.25">
      <c r="B149" s="135" t="str">
        <f>HYPERLINK("https://www.pbo.gov.au/elections/2025-general-election/2025-election-commitments-costings/national-domestic-violence-register", "ECR-2025-2394")</f>
        <v>ECR-2025-2394</v>
      </c>
      <c r="C149" s="59" t="s">
        <v>227</v>
      </c>
      <c r="D149" s="60">
        <v>-26.3</v>
      </c>
      <c r="E149" s="60">
        <v>-78.099999999999994</v>
      </c>
      <c r="F149" s="60">
        <v>-23.5</v>
      </c>
      <c r="G149" s="60">
        <v>-8.6</v>
      </c>
      <c r="H149" s="60">
        <v>-1.1000000000000001</v>
      </c>
      <c r="I149" s="60">
        <v>-1.1000000000000001</v>
      </c>
      <c r="J149" s="60">
        <v>0</v>
      </c>
      <c r="K149" s="60">
        <v>0</v>
      </c>
      <c r="L149" s="60">
        <v>0</v>
      </c>
      <c r="M149" s="60">
        <v>0</v>
      </c>
      <c r="N149" s="60">
        <v>0</v>
      </c>
      <c r="O149" s="60">
        <v>-136.5</v>
      </c>
      <c r="P149" s="60">
        <v>-138.69999999999999</v>
      </c>
      <c r="Q149" s="64"/>
      <c r="R149" s="64"/>
      <c r="S149" s="59" t="s">
        <v>266</v>
      </c>
      <c r="U149" s="53"/>
      <c r="V149" s="53"/>
      <c r="W149" s="53"/>
      <c r="X149" s="53"/>
      <c r="Y149" s="53"/>
      <c r="Z149" s="53"/>
      <c r="AA149" s="53"/>
      <c r="AB149" s="53"/>
      <c r="AC149" s="53"/>
      <c r="AD149" s="53"/>
      <c r="AE149" s="53"/>
      <c r="AF149" s="53"/>
      <c r="AG149" s="53"/>
    </row>
    <row r="150" spans="2:33" ht="15" customHeight="1" x14ac:dyDescent="0.25">
      <c r="B150" s="135" t="str">
        <f>HYPERLINK("https://www.pbo.gov.au/elections/2025-general-election/2025-election-commitments-costings/national-higher-education-code-prevent-and-respond-anti-semitism", "ECR-2025-2149")</f>
        <v>ECR-2025-2149</v>
      </c>
      <c r="C150" s="59" t="s">
        <v>348</v>
      </c>
      <c r="D150" s="60">
        <v>-8.1</v>
      </c>
      <c r="E150" s="60">
        <v>-3.6</v>
      </c>
      <c r="F150" s="60">
        <v>-3.7</v>
      </c>
      <c r="G150" s="60">
        <v>-3.8</v>
      </c>
      <c r="H150" s="60">
        <v>-3.9</v>
      </c>
      <c r="I150" s="60">
        <v>-4</v>
      </c>
      <c r="J150" s="60">
        <v>-4.0999999999999996</v>
      </c>
      <c r="K150" s="60">
        <v>-4.2</v>
      </c>
      <c r="L150" s="60">
        <v>-4.3</v>
      </c>
      <c r="M150" s="60">
        <v>-4.4000000000000004</v>
      </c>
      <c r="N150" s="60">
        <v>-4.5</v>
      </c>
      <c r="O150" s="60">
        <v>-19.2</v>
      </c>
      <c r="P150" s="60">
        <v>-48.6</v>
      </c>
      <c r="Q150" s="64"/>
      <c r="R150" s="64"/>
      <c r="S150" s="59" t="s">
        <v>261</v>
      </c>
      <c r="U150" s="53"/>
      <c r="V150" s="53"/>
      <c r="W150" s="53"/>
      <c r="X150" s="53"/>
      <c r="Y150" s="53"/>
      <c r="Z150" s="53"/>
      <c r="AA150" s="53"/>
      <c r="AB150" s="53"/>
      <c r="AC150" s="53"/>
      <c r="AD150" s="53"/>
      <c r="AE150" s="53"/>
      <c r="AF150" s="53"/>
      <c r="AG150" s="53"/>
    </row>
    <row r="151" spans="2:33" ht="15" customHeight="1" x14ac:dyDescent="0.25">
      <c r="B151" s="135" t="str">
        <f>HYPERLINK("https://www.pbo.gov.au/elections/2025-general-election/2025-election-commitments-costings/national-leadership-knife-and-youth-crime", "ECR-2025-2851")</f>
        <v>ECR-2025-2851</v>
      </c>
      <c r="C151" s="59" t="s">
        <v>349</v>
      </c>
      <c r="D151" s="60">
        <v>-18.100000000000001</v>
      </c>
      <c r="E151" s="60">
        <v>-11.1</v>
      </c>
      <c r="F151" s="60">
        <v>-0.1</v>
      </c>
      <c r="G151" s="60">
        <v>-0.3</v>
      </c>
      <c r="H151" s="60">
        <v>-0.4</v>
      </c>
      <c r="I151" s="60">
        <v>-0.4</v>
      </c>
      <c r="J151" s="60">
        <v>-0.4</v>
      </c>
      <c r="K151" s="60">
        <v>-0.4</v>
      </c>
      <c r="L151" s="60">
        <v>-0.4</v>
      </c>
      <c r="M151" s="60">
        <v>-0.5</v>
      </c>
      <c r="N151" s="60">
        <v>-0.5</v>
      </c>
      <c r="O151" s="60">
        <v>-29.6</v>
      </c>
      <c r="P151" s="60">
        <v>-32.6</v>
      </c>
      <c r="Q151" s="64"/>
      <c r="R151" s="64"/>
      <c r="S151" s="59" t="s">
        <v>261</v>
      </c>
      <c r="U151" s="53"/>
      <c r="V151" s="53"/>
      <c r="W151" s="53"/>
      <c r="X151" s="53"/>
      <c r="Y151" s="53"/>
      <c r="Z151" s="53"/>
      <c r="AA151" s="53"/>
      <c r="AB151" s="53"/>
      <c r="AC151" s="53"/>
      <c r="AD151" s="53"/>
      <c r="AE151" s="53"/>
      <c r="AF151" s="53"/>
      <c r="AG151" s="53"/>
    </row>
    <row r="152" spans="2:33" ht="15" customHeight="1" x14ac:dyDescent="0.25">
      <c r="B152" s="59" t="s">
        <v>103</v>
      </c>
      <c r="C152" s="59" t="s">
        <v>404</v>
      </c>
      <c r="D152" s="60">
        <v>0</v>
      </c>
      <c r="E152" s="60">
        <v>0</v>
      </c>
      <c r="F152" s="60">
        <v>0</v>
      </c>
      <c r="G152" s="60">
        <v>0</v>
      </c>
      <c r="H152" s="60">
        <v>0</v>
      </c>
      <c r="I152" s="60">
        <v>0</v>
      </c>
      <c r="J152" s="60">
        <v>0</v>
      </c>
      <c r="K152" s="60">
        <v>0</v>
      </c>
      <c r="L152" s="60">
        <v>0</v>
      </c>
      <c r="M152" s="60">
        <v>0</v>
      </c>
      <c r="N152" s="60">
        <v>0</v>
      </c>
      <c r="O152" s="60">
        <v>0</v>
      </c>
      <c r="P152" s="60">
        <v>0</v>
      </c>
      <c r="Q152" s="64"/>
      <c r="R152" s="64"/>
      <c r="S152" s="59" t="s">
        <v>282</v>
      </c>
      <c r="U152" s="53"/>
      <c r="V152" s="53"/>
      <c r="W152" s="53"/>
      <c r="X152" s="53"/>
      <c r="Y152" s="53"/>
      <c r="Z152" s="53"/>
      <c r="AA152" s="53"/>
      <c r="AB152" s="53"/>
      <c r="AC152" s="53"/>
      <c r="AD152" s="53"/>
      <c r="AE152" s="53"/>
      <c r="AF152" s="53"/>
      <c r="AG152" s="53"/>
    </row>
    <row r="153" spans="2:33" ht="15" customHeight="1" x14ac:dyDescent="0.25">
      <c r="B153" s="135" t="str">
        <f>HYPERLINK("https://www.pbo.gov.au/elections/2025-general-election/2025-election-commitments-costings/new-drug-enforcement-taskforce-states-and-territories", "ECR-2025-2240")</f>
        <v>ECR-2025-2240</v>
      </c>
      <c r="C153" s="59" t="s">
        <v>350</v>
      </c>
      <c r="D153" s="60">
        <v>-86.1</v>
      </c>
      <c r="E153" s="60">
        <v>-88.3</v>
      </c>
      <c r="F153" s="60">
        <v>-89.7</v>
      </c>
      <c r="G153" s="60">
        <v>-91.3</v>
      </c>
      <c r="H153" s="60">
        <v>0</v>
      </c>
      <c r="I153" s="60">
        <v>0</v>
      </c>
      <c r="J153" s="60">
        <v>0</v>
      </c>
      <c r="K153" s="60">
        <v>0</v>
      </c>
      <c r="L153" s="60">
        <v>0</v>
      </c>
      <c r="M153" s="60">
        <v>0</v>
      </c>
      <c r="N153" s="60">
        <v>0</v>
      </c>
      <c r="O153" s="60">
        <v>-355.4</v>
      </c>
      <c r="P153" s="60">
        <v>-355.4</v>
      </c>
      <c r="Q153" s="64"/>
      <c r="R153" s="64"/>
      <c r="S153" s="59" t="s">
        <v>263</v>
      </c>
      <c r="U153" s="53"/>
      <c r="V153" s="53"/>
      <c r="W153" s="53"/>
      <c r="X153" s="53"/>
      <c r="Y153" s="53"/>
      <c r="Z153" s="53"/>
      <c r="AA153" s="53"/>
      <c r="AB153" s="53"/>
      <c r="AC153" s="53"/>
      <c r="AD153" s="53"/>
      <c r="AE153" s="53"/>
      <c r="AF153" s="53"/>
      <c r="AG153" s="53"/>
    </row>
    <row r="154" spans="2:33" ht="15" customHeight="1" x14ac:dyDescent="0.25">
      <c r="B154" s="59" t="s">
        <v>105</v>
      </c>
      <c r="C154" s="59" t="s">
        <v>405</v>
      </c>
      <c r="D154" s="60">
        <v>0</v>
      </c>
      <c r="E154" s="60">
        <v>0</v>
      </c>
      <c r="F154" s="60">
        <v>0</v>
      </c>
      <c r="G154" s="60">
        <v>0</v>
      </c>
      <c r="H154" s="60">
        <v>0</v>
      </c>
      <c r="I154" s="60">
        <v>0</v>
      </c>
      <c r="J154" s="60">
        <v>0</v>
      </c>
      <c r="K154" s="60">
        <v>0</v>
      </c>
      <c r="L154" s="60">
        <v>0</v>
      </c>
      <c r="M154" s="60">
        <v>0</v>
      </c>
      <c r="N154" s="60">
        <v>0</v>
      </c>
      <c r="O154" s="60">
        <v>0</v>
      </c>
      <c r="P154" s="60">
        <v>0</v>
      </c>
      <c r="Q154" s="64"/>
      <c r="R154" s="64"/>
      <c r="S154" s="59" t="s">
        <v>283</v>
      </c>
      <c r="U154" s="53"/>
      <c r="V154" s="53"/>
      <c r="W154" s="53"/>
      <c r="X154" s="53"/>
      <c r="Y154" s="53"/>
      <c r="Z154" s="53"/>
      <c r="AA154" s="53"/>
      <c r="AB154" s="53"/>
      <c r="AC154" s="53"/>
      <c r="AD154" s="53"/>
      <c r="AE154" s="53"/>
      <c r="AF154" s="53"/>
      <c r="AG154" s="53"/>
    </row>
    <row r="155" spans="2:33" ht="15" customHeight="1" x14ac:dyDescent="0.25">
      <c r="B155" s="135" t="str">
        <f>HYPERLINK("https://www.pbo.gov.au/elections/2025-general-election/2025-election-commitments-costings/Oceans%20IQ%20%E2%80%93%20supporting%20marine%20education", "ECR-2025-2403")</f>
        <v>ECR-2025-2403</v>
      </c>
      <c r="C155" s="59" t="s">
        <v>351</v>
      </c>
      <c r="D155" s="60">
        <v>-0.2</v>
      </c>
      <c r="E155" s="60">
        <v>0</v>
      </c>
      <c r="F155" s="60">
        <v>0</v>
      </c>
      <c r="G155" s="60">
        <v>0</v>
      </c>
      <c r="H155" s="60">
        <v>0</v>
      </c>
      <c r="I155" s="60">
        <v>0</v>
      </c>
      <c r="J155" s="60">
        <v>0</v>
      </c>
      <c r="K155" s="60">
        <v>0</v>
      </c>
      <c r="L155" s="60">
        <v>0</v>
      </c>
      <c r="M155" s="60">
        <v>0</v>
      </c>
      <c r="N155" s="60">
        <v>0</v>
      </c>
      <c r="O155" s="60">
        <v>-0.2</v>
      </c>
      <c r="P155" s="60">
        <v>-0.2</v>
      </c>
      <c r="Q155" s="64"/>
      <c r="R155" s="64"/>
      <c r="S155" s="59" t="s">
        <v>264</v>
      </c>
      <c r="U155" s="53"/>
      <c r="V155" s="53"/>
      <c r="W155" s="53"/>
      <c r="X155" s="53"/>
      <c r="Y155" s="53"/>
      <c r="Z155" s="53"/>
      <c r="AA155" s="53"/>
      <c r="AB155" s="53"/>
      <c r="AC155" s="53"/>
      <c r="AD155" s="53"/>
      <c r="AE155" s="53"/>
      <c r="AF155" s="53"/>
      <c r="AG155" s="53"/>
    </row>
    <row r="156" spans="2:33" ht="15" customHeight="1" x14ac:dyDescent="0.25">
      <c r="B156" s="135" t="str">
        <f>HYPERLINK("https://www.pbo.gov.au/elections/2025-general-election/2025-election-commitments-costings/Official-Development-Assistance-efficiencies-excluding-Pacific-Indonesia-and-Timor-Leste", "ECR-2025-2392")</f>
        <v>ECR-2025-2392</v>
      </c>
      <c r="C156" s="59" t="s">
        <v>352</v>
      </c>
      <c r="D156" s="60">
        <v>108</v>
      </c>
      <c r="E156" s="60">
        <v>230</v>
      </c>
      <c r="F156" s="60">
        <v>235</v>
      </c>
      <c r="G156" s="60">
        <v>241</v>
      </c>
      <c r="H156" s="60">
        <v>247</v>
      </c>
      <c r="I156" s="60">
        <v>253</v>
      </c>
      <c r="J156" s="60">
        <v>260</v>
      </c>
      <c r="K156" s="60">
        <v>266</v>
      </c>
      <c r="L156" s="60">
        <v>273</v>
      </c>
      <c r="M156" s="60">
        <v>280</v>
      </c>
      <c r="N156" s="60">
        <v>287</v>
      </c>
      <c r="O156" s="60">
        <v>814</v>
      </c>
      <c r="P156" s="60">
        <v>2680</v>
      </c>
      <c r="Q156" s="64"/>
      <c r="R156" s="64"/>
      <c r="S156" s="59" t="s">
        <v>261</v>
      </c>
      <c r="U156" s="53"/>
      <c r="V156" s="53"/>
      <c r="W156" s="53"/>
      <c r="X156" s="53"/>
      <c r="Y156" s="53"/>
      <c r="Z156" s="53"/>
      <c r="AA156" s="53"/>
      <c r="AB156" s="53"/>
      <c r="AC156" s="53"/>
      <c r="AD156" s="53"/>
      <c r="AE156" s="53"/>
      <c r="AF156" s="53"/>
      <c r="AG156" s="53"/>
    </row>
    <row r="157" spans="2:33" ht="15" customHeight="1" x14ac:dyDescent="0.25">
      <c r="B157" s="135" t="str">
        <f>HYPERLINK("https://www.pbo.gov.au/elections/2025-general-election/2025-election-commitments-costings/Overseas%20eligibility%20for%20social%20services%20payments%20%E2%80%93%20reduce%20to%20four%20weeks", "ECR-2025-2621")</f>
        <v>ECR-2025-2621</v>
      </c>
      <c r="C157" s="59" t="s">
        <v>433</v>
      </c>
      <c r="D157" s="60">
        <v>17.399999999999999</v>
      </c>
      <c r="E157" s="60">
        <v>18.2</v>
      </c>
      <c r="F157" s="60">
        <v>18.899999999999999</v>
      </c>
      <c r="G157" s="60">
        <v>19.5</v>
      </c>
      <c r="H157" s="60">
        <v>20.3</v>
      </c>
      <c r="I157" s="60">
        <v>21.1</v>
      </c>
      <c r="J157" s="60">
        <v>22</v>
      </c>
      <c r="K157" s="60">
        <v>22.6</v>
      </c>
      <c r="L157" s="60">
        <v>23.6</v>
      </c>
      <c r="M157" s="60">
        <v>24.6</v>
      </c>
      <c r="N157" s="60">
        <v>25.6</v>
      </c>
      <c r="O157" s="60">
        <v>74.099999999999994</v>
      </c>
      <c r="P157" s="60">
        <v>234.1</v>
      </c>
      <c r="Q157" s="64"/>
      <c r="R157" s="64"/>
      <c r="S157" s="59" t="s">
        <v>261</v>
      </c>
      <c r="U157" s="53"/>
      <c r="V157" s="53"/>
      <c r="W157" s="53"/>
      <c r="X157" s="53"/>
      <c r="Y157" s="53"/>
      <c r="Z157" s="53"/>
      <c r="AA157" s="53"/>
      <c r="AB157" s="53"/>
      <c r="AC157" s="53"/>
      <c r="AD157" s="53"/>
      <c r="AE157" s="53"/>
      <c r="AF157" s="53"/>
      <c r="AG157" s="53"/>
    </row>
    <row r="158" spans="2:33" ht="15" customHeight="1" x14ac:dyDescent="0.25">
      <c r="B158" s="135" t="str">
        <f>HYPERLINK("https://www.pbo.gov.au/elections/2025-general-election/2025-election-commitments-costings/ozfish-supporting-habitat-restoration", "ECR-2025-2195")</f>
        <v>ECR-2025-2195</v>
      </c>
      <c r="C158" s="59" t="s">
        <v>353</v>
      </c>
      <c r="D158" s="60">
        <v>-1.5</v>
      </c>
      <c r="E158" s="60">
        <v>-1.5</v>
      </c>
      <c r="F158" s="60">
        <v>-1.5</v>
      </c>
      <c r="G158" s="60">
        <v>-1.5</v>
      </c>
      <c r="H158" s="60">
        <v>0</v>
      </c>
      <c r="I158" s="60">
        <v>0</v>
      </c>
      <c r="J158" s="60">
        <v>0</v>
      </c>
      <c r="K158" s="60">
        <v>0</v>
      </c>
      <c r="L158" s="60">
        <v>0</v>
      </c>
      <c r="M158" s="60">
        <v>0</v>
      </c>
      <c r="N158" s="60">
        <v>0</v>
      </c>
      <c r="O158" s="60">
        <v>-6</v>
      </c>
      <c r="P158" s="60">
        <v>-6</v>
      </c>
      <c r="Q158" s="64"/>
      <c r="R158" s="64"/>
      <c r="S158" s="59" t="s">
        <v>284</v>
      </c>
      <c r="U158" s="53"/>
      <c r="V158" s="53"/>
      <c r="W158" s="53"/>
      <c r="X158" s="53"/>
      <c r="Y158" s="53"/>
      <c r="Z158" s="53"/>
      <c r="AA158" s="53"/>
      <c r="AB158" s="53"/>
      <c r="AC158" s="53"/>
      <c r="AD158" s="53"/>
      <c r="AE158" s="53"/>
      <c r="AF158" s="53"/>
      <c r="AG158" s="53"/>
    </row>
    <row r="159" spans="2:33" ht="15" customHeight="1" x14ac:dyDescent="0.25">
      <c r="B159" s="135" t="str">
        <f>HYPERLINK("https://www.pbo.gov.au/elections/2025-general-election/2025-election-commitments-costings/Recycling%20mobile%20phones%20to%20assist%20victims%20of%20domestic%20violence", "ECR-2025-2047")</f>
        <v>ECR-2025-2047</v>
      </c>
      <c r="C159" s="59" t="s">
        <v>354</v>
      </c>
      <c r="D159" s="60">
        <v>-0.5</v>
      </c>
      <c r="E159" s="60">
        <v>-0.5</v>
      </c>
      <c r="F159" s="60">
        <v>-0.5</v>
      </c>
      <c r="G159" s="60">
        <v>-0.5</v>
      </c>
      <c r="H159" s="60">
        <v>0</v>
      </c>
      <c r="I159" s="60">
        <v>0</v>
      </c>
      <c r="J159" s="60">
        <v>0</v>
      </c>
      <c r="K159" s="60">
        <v>0</v>
      </c>
      <c r="L159" s="60">
        <v>0</v>
      </c>
      <c r="M159" s="60">
        <v>0</v>
      </c>
      <c r="N159" s="60">
        <v>0</v>
      </c>
      <c r="O159" s="60">
        <v>-2</v>
      </c>
      <c r="P159" s="60">
        <v>-2</v>
      </c>
      <c r="Q159" s="64"/>
      <c r="R159" s="64"/>
      <c r="S159" s="59" t="s">
        <v>285</v>
      </c>
      <c r="U159" s="53"/>
      <c r="V159" s="53"/>
      <c r="W159" s="53"/>
      <c r="X159" s="53"/>
      <c r="Y159" s="53"/>
      <c r="Z159" s="53"/>
      <c r="AA159" s="53"/>
      <c r="AB159" s="53"/>
      <c r="AC159" s="53"/>
      <c r="AD159" s="53"/>
      <c r="AE159" s="53"/>
      <c r="AF159" s="53"/>
      <c r="AG159" s="53"/>
    </row>
    <row r="160" spans="2:33" ht="15" customHeight="1" x14ac:dyDescent="0.25">
      <c r="B160" s="135" t="str">
        <f>HYPERLINK("https://www.pbo.gov.au/elections/2025-general-election/2025-election-commitments-costings/Redtails%20Pinktails%20Right%20Tracks%20program", "ECR-2025-2632")</f>
        <v>ECR-2025-2632</v>
      </c>
      <c r="C160" s="59" t="s">
        <v>355</v>
      </c>
      <c r="D160" s="60">
        <v>-2.8</v>
      </c>
      <c r="E160" s="60">
        <v>-2.8</v>
      </c>
      <c r="F160" s="60">
        <v>-2.8</v>
      </c>
      <c r="G160" s="60">
        <v>-2.8</v>
      </c>
      <c r="H160" s="60">
        <v>-2.8</v>
      </c>
      <c r="I160" s="60">
        <v>-2.8</v>
      </c>
      <c r="J160" s="60">
        <v>-2.8</v>
      </c>
      <c r="K160" s="60">
        <v>-2.8</v>
      </c>
      <c r="L160" s="60">
        <v>-2.8</v>
      </c>
      <c r="M160" s="60">
        <v>-2.8</v>
      </c>
      <c r="N160" s="60">
        <v>-2.8</v>
      </c>
      <c r="O160" s="60">
        <v>-11.2</v>
      </c>
      <c r="P160" s="60">
        <v>-30.8</v>
      </c>
      <c r="Q160" s="64"/>
      <c r="R160" s="64"/>
      <c r="S160" s="59" t="s">
        <v>286</v>
      </c>
      <c r="U160" s="53"/>
      <c r="V160" s="53"/>
      <c r="W160" s="53"/>
      <c r="X160" s="53"/>
      <c r="Y160" s="53"/>
      <c r="Z160" s="53"/>
      <c r="AA160" s="53"/>
      <c r="AB160" s="53"/>
      <c r="AC160" s="53"/>
      <c r="AD160" s="53"/>
      <c r="AE160" s="53"/>
      <c r="AF160" s="53"/>
      <c r="AG160" s="53"/>
    </row>
    <row r="161" spans="2:33" ht="15" customHeight="1" x14ac:dyDescent="0.25">
      <c r="B161" s="135" t="str">
        <f>HYPERLINK("https://www.pbo.gov.au/elections/2025-general-election/2025-election-commitments-costings/Royal%20Commission%20into%20sexual%20abuse%20in%20Indigenous%20communities", "ECR-2025-2010")</f>
        <v>ECR-2025-2010</v>
      </c>
      <c r="C161" s="59" t="s">
        <v>356</v>
      </c>
      <c r="D161" s="60">
        <v>-46.4</v>
      </c>
      <c r="E161" s="60">
        <v>-95.2</v>
      </c>
      <c r="F161" s="60">
        <v>0</v>
      </c>
      <c r="G161" s="60">
        <v>0</v>
      </c>
      <c r="H161" s="60">
        <v>0</v>
      </c>
      <c r="I161" s="60">
        <v>0</v>
      </c>
      <c r="J161" s="60">
        <v>0</v>
      </c>
      <c r="K161" s="60">
        <v>0</v>
      </c>
      <c r="L161" s="60">
        <v>0</v>
      </c>
      <c r="M161" s="60">
        <v>0</v>
      </c>
      <c r="N161" s="60">
        <v>0</v>
      </c>
      <c r="O161" s="60">
        <v>-141.6</v>
      </c>
      <c r="P161" s="60">
        <v>-141.6</v>
      </c>
      <c r="Q161" s="64"/>
      <c r="R161" s="64"/>
      <c r="S161" s="59" t="s">
        <v>266</v>
      </c>
      <c r="U161" s="53"/>
      <c r="V161" s="53"/>
      <c r="W161" s="53"/>
      <c r="X161" s="53"/>
      <c r="Y161" s="53"/>
      <c r="Z161" s="53"/>
      <c r="AA161" s="53"/>
      <c r="AB161" s="53"/>
      <c r="AC161" s="53"/>
      <c r="AD161" s="53"/>
      <c r="AE161" s="53"/>
      <c r="AF161" s="53"/>
      <c r="AG161" s="53"/>
    </row>
    <row r="162" spans="2:33" ht="15" customHeight="1" x14ac:dyDescent="0.25">
      <c r="B162" s="135" t="str">
        <f>HYPERLINK("https://www.pbo.gov.au/elections/2025-general-election/2025-election-commitments-costings/safety-net-family-and-domestic-violence-helpline-support", "ECR-2025-2292")</f>
        <v>ECR-2025-2292</v>
      </c>
      <c r="C162" s="59" t="s">
        <v>357</v>
      </c>
      <c r="D162" s="60">
        <v>-4.2</v>
      </c>
      <c r="E162" s="60">
        <v>-1.1000000000000001</v>
      </c>
      <c r="F162" s="60">
        <v>-1.2</v>
      </c>
      <c r="G162" s="60">
        <v>-1.2</v>
      </c>
      <c r="H162" s="60">
        <v>-1.2</v>
      </c>
      <c r="I162" s="60">
        <v>-1.3</v>
      </c>
      <c r="J162" s="60">
        <v>-1.3</v>
      </c>
      <c r="K162" s="60">
        <v>-1.3</v>
      </c>
      <c r="L162" s="60">
        <v>-1.4</v>
      </c>
      <c r="M162" s="60">
        <v>-1.4</v>
      </c>
      <c r="N162" s="60">
        <v>-1.4</v>
      </c>
      <c r="O162" s="60">
        <v>-7.7</v>
      </c>
      <c r="P162" s="60">
        <v>-17</v>
      </c>
      <c r="Q162" s="64"/>
      <c r="R162" s="64"/>
      <c r="S162" s="59" t="s">
        <v>266</v>
      </c>
      <c r="U162" s="53"/>
      <c r="V162" s="53"/>
      <c r="W162" s="53"/>
      <c r="X162" s="53"/>
      <c r="Y162" s="53"/>
      <c r="Z162" s="53"/>
      <c r="AA162" s="53"/>
      <c r="AB162" s="53"/>
      <c r="AC162" s="53"/>
      <c r="AD162" s="53"/>
      <c r="AE162" s="53"/>
      <c r="AF162" s="53"/>
      <c r="AG162" s="53"/>
    </row>
    <row r="163" spans="2:33" ht="15" customHeight="1" x14ac:dyDescent="0.25">
      <c r="B163" s="59" t="s">
        <v>107</v>
      </c>
      <c r="C163" s="59" t="s">
        <v>406</v>
      </c>
      <c r="D163" s="60">
        <v>0</v>
      </c>
      <c r="E163" s="60">
        <v>0</v>
      </c>
      <c r="F163" s="60">
        <v>0</v>
      </c>
      <c r="G163" s="60">
        <v>0</v>
      </c>
      <c r="H163" s="60">
        <v>0</v>
      </c>
      <c r="I163" s="60">
        <v>0</v>
      </c>
      <c r="J163" s="60">
        <v>0</v>
      </c>
      <c r="K163" s="60">
        <v>0</v>
      </c>
      <c r="L163" s="60">
        <v>0</v>
      </c>
      <c r="M163" s="60">
        <v>0</v>
      </c>
      <c r="N163" s="60">
        <v>0</v>
      </c>
      <c r="O163" s="60">
        <v>0</v>
      </c>
      <c r="P163" s="60">
        <v>0</v>
      </c>
      <c r="Q163" s="64"/>
      <c r="R163" s="64"/>
      <c r="S163" s="59" t="s">
        <v>261</v>
      </c>
      <c r="U163" s="53"/>
      <c r="V163" s="53"/>
      <c r="W163" s="53"/>
      <c r="X163" s="53"/>
      <c r="Y163" s="53"/>
      <c r="Z163" s="53"/>
      <c r="AA163" s="53"/>
      <c r="AB163" s="53"/>
      <c r="AC163" s="53"/>
      <c r="AD163" s="53"/>
      <c r="AE163" s="53"/>
      <c r="AF163" s="53"/>
      <c r="AG163" s="53"/>
    </row>
    <row r="164" spans="2:33" ht="15" customHeight="1" x14ac:dyDescent="0.25">
      <c r="B164" s="135" t="str">
        <f>HYPERLINK("https://www.pbo.gov.au/elections/2025-general-election/2025-election-commitments-costings/sustainable-funding-crime-stoppers", "ECR-2025-2260")</f>
        <v>ECR-2025-2260</v>
      </c>
      <c r="C164" s="59" t="s">
        <v>434</v>
      </c>
      <c r="D164" s="60">
        <v>-2.5</v>
      </c>
      <c r="E164" s="60">
        <v>-2.5</v>
      </c>
      <c r="F164" s="60">
        <v>-2.5</v>
      </c>
      <c r="G164" s="60">
        <v>0</v>
      </c>
      <c r="H164" s="60">
        <v>0</v>
      </c>
      <c r="I164" s="60">
        <v>0</v>
      </c>
      <c r="J164" s="60">
        <v>0</v>
      </c>
      <c r="K164" s="60">
        <v>0</v>
      </c>
      <c r="L164" s="60">
        <v>0</v>
      </c>
      <c r="M164" s="60">
        <v>0</v>
      </c>
      <c r="N164" s="60">
        <v>0</v>
      </c>
      <c r="O164" s="60">
        <v>-7.5</v>
      </c>
      <c r="P164" s="60">
        <v>-7.5</v>
      </c>
      <c r="Q164" s="64"/>
      <c r="R164" s="64"/>
      <c r="S164" s="59" t="s">
        <v>263</v>
      </c>
      <c r="U164" s="53"/>
      <c r="V164" s="53"/>
      <c r="W164" s="53"/>
      <c r="X164" s="53"/>
      <c r="Y164" s="53"/>
      <c r="Z164" s="53"/>
      <c r="AA164" s="53"/>
      <c r="AB164" s="53"/>
      <c r="AC164" s="53"/>
      <c r="AD164" s="53"/>
      <c r="AE164" s="53"/>
      <c r="AF164" s="53"/>
      <c r="AG164" s="53"/>
    </row>
    <row r="165" spans="2:33" ht="15" customHeight="1" x14ac:dyDescent="0.25">
      <c r="B165" s="135" t="str">
        <f>HYPERLINK("https://www.pbo.gov.au/elections/2025-general-election/2025-election-commitments-costings/Unmarked%20War%20Graves%20Grants%20Program", "ECR-2025-2864")</f>
        <v>ECR-2025-2864</v>
      </c>
      <c r="C165" s="59" t="s">
        <v>358</v>
      </c>
      <c r="D165" s="60">
        <v>-1</v>
      </c>
      <c r="E165" s="60">
        <v>-0.9</v>
      </c>
      <c r="F165" s="60">
        <v>-0.9</v>
      </c>
      <c r="G165" s="60">
        <v>-0.9</v>
      </c>
      <c r="H165" s="60">
        <v>0</v>
      </c>
      <c r="I165" s="60">
        <v>0</v>
      </c>
      <c r="J165" s="60">
        <v>0</v>
      </c>
      <c r="K165" s="60">
        <v>0</v>
      </c>
      <c r="L165" s="60">
        <v>0</v>
      </c>
      <c r="M165" s="60">
        <v>0</v>
      </c>
      <c r="N165" s="60">
        <v>0</v>
      </c>
      <c r="O165" s="60">
        <v>-3.7</v>
      </c>
      <c r="P165" s="60">
        <v>-3.7</v>
      </c>
      <c r="Q165" s="64"/>
      <c r="R165" s="64"/>
      <c r="S165" s="59" t="s">
        <v>287</v>
      </c>
      <c r="U165" s="53"/>
      <c r="V165" s="53"/>
      <c r="W165" s="53"/>
      <c r="X165" s="53"/>
      <c r="Y165" s="53"/>
      <c r="Z165" s="53"/>
      <c r="AA165" s="53"/>
      <c r="AB165" s="53"/>
      <c r="AC165" s="53"/>
      <c r="AD165" s="53"/>
      <c r="AE165" s="53"/>
      <c r="AF165" s="53"/>
      <c r="AG165" s="53"/>
    </row>
    <row r="166" spans="2:33" ht="15" customHeight="1" x14ac:dyDescent="0.25">
      <c r="B166" s="62" t="s">
        <v>379</v>
      </c>
      <c r="C166" s="62"/>
      <c r="D166" s="63">
        <v>-479.2</v>
      </c>
      <c r="E166" s="63">
        <v>-3171.5</v>
      </c>
      <c r="F166" s="63">
        <v>-3860</v>
      </c>
      <c r="G166" s="63">
        <v>-5633.6</v>
      </c>
      <c r="H166" s="63">
        <v>-7724.9</v>
      </c>
      <c r="I166" s="63">
        <v>-11311.6</v>
      </c>
      <c r="J166" s="63">
        <v>-15246.1</v>
      </c>
      <c r="K166" s="63">
        <v>-20213</v>
      </c>
      <c r="L166" s="63">
        <v>-25299.4</v>
      </c>
      <c r="M166" s="63">
        <v>-30486</v>
      </c>
      <c r="N166" s="63">
        <v>-32003</v>
      </c>
      <c r="O166" s="63">
        <v>-13144.3</v>
      </c>
      <c r="P166" s="63">
        <v>-155428.20000000001</v>
      </c>
      <c r="Q166" s="64" t="s">
        <v>9</v>
      </c>
      <c r="R166" s="64"/>
      <c r="S166" s="62" t="s">
        <v>10</v>
      </c>
    </row>
    <row r="167" spans="2:33" ht="15" customHeight="1" x14ac:dyDescent="0.25">
      <c r="B167" s="81" t="s">
        <v>101</v>
      </c>
      <c r="C167" s="3"/>
      <c r="D167" s="55" t="s">
        <v>10</v>
      </c>
      <c r="E167" s="55" t="s">
        <v>10</v>
      </c>
      <c r="F167" s="55" t="s">
        <v>10</v>
      </c>
      <c r="G167" s="55" t="s">
        <v>10</v>
      </c>
      <c r="H167" s="55" t="s">
        <v>10</v>
      </c>
      <c r="I167" s="55" t="s">
        <v>10</v>
      </c>
      <c r="J167" s="55" t="s">
        <v>10</v>
      </c>
      <c r="K167" s="55" t="s">
        <v>10</v>
      </c>
      <c r="L167" s="55" t="s">
        <v>10</v>
      </c>
      <c r="M167" s="55" t="s">
        <v>10</v>
      </c>
      <c r="N167" s="55" t="s">
        <v>10</v>
      </c>
      <c r="O167" s="55" t="s">
        <v>10</v>
      </c>
      <c r="P167" s="55" t="s">
        <v>10</v>
      </c>
      <c r="Q167" s="4"/>
      <c r="R167" s="4"/>
      <c r="S167" s="3" t="s">
        <v>10</v>
      </c>
    </row>
    <row r="168" spans="2:33" ht="15" customHeight="1" x14ac:dyDescent="0.25">
      <c r="B168" s="135" t="str">
        <f>HYPERLINK("https://www.pbo.gov.au/elections/2025-general-election/2025-election-commitments-costings/1800MEDICARE-establishment", "ECR-2025-2235")</f>
        <v>ECR-2025-2235</v>
      </c>
      <c r="C168" s="59" t="s">
        <v>213</v>
      </c>
      <c r="D168" s="60">
        <v>-60.8</v>
      </c>
      <c r="E168" s="60">
        <v>-55.6</v>
      </c>
      <c r="F168" s="60">
        <v>-45.8</v>
      </c>
      <c r="G168" s="60">
        <v>-46.5</v>
      </c>
      <c r="H168" s="60">
        <v>-48.8</v>
      </c>
      <c r="I168" s="60">
        <v>-51.1</v>
      </c>
      <c r="J168" s="60">
        <v>-53.5</v>
      </c>
      <c r="K168" s="60">
        <v>-56</v>
      </c>
      <c r="L168" s="60">
        <v>-58.7</v>
      </c>
      <c r="M168" s="60">
        <v>-61.5</v>
      </c>
      <c r="N168" s="60">
        <v>-64.5</v>
      </c>
      <c r="O168" s="60">
        <v>-208.7</v>
      </c>
      <c r="P168" s="60">
        <v>-602.79999999999995</v>
      </c>
      <c r="Q168" s="61"/>
      <c r="R168" s="61"/>
      <c r="S168" s="59" t="s">
        <v>330</v>
      </c>
    </row>
    <row r="169" spans="2:33" ht="15" customHeight="1" x14ac:dyDescent="0.25">
      <c r="B169" s="135" t="str">
        <f>HYPERLINK("https://www.pbo.gov.au/elections/2025-general-election/2025-election-commitments-costings/age-and-veterans-service-pension-work-bonus-double", "ECR-2025-2087")</f>
        <v>ECR-2025-2087</v>
      </c>
      <c r="C169" s="59" t="s">
        <v>435</v>
      </c>
      <c r="D169" s="60">
        <v>-101.6</v>
      </c>
      <c r="E169" s="60">
        <v>-103.9</v>
      </c>
      <c r="F169" s="60">
        <v>-105.2</v>
      </c>
      <c r="G169" s="60">
        <v>-108.8</v>
      </c>
      <c r="H169" s="60">
        <v>-113.2</v>
      </c>
      <c r="I169" s="60">
        <v>-116.7</v>
      </c>
      <c r="J169" s="60">
        <v>-120.3</v>
      </c>
      <c r="K169" s="60">
        <v>-123.6</v>
      </c>
      <c r="L169" s="60">
        <v>-127.8</v>
      </c>
      <c r="M169" s="60">
        <v>-128</v>
      </c>
      <c r="N169" s="60">
        <v>-131</v>
      </c>
      <c r="O169" s="60">
        <v>-419.5</v>
      </c>
      <c r="P169" s="60">
        <v>-1280.0999999999999</v>
      </c>
      <c r="Q169" s="61"/>
      <c r="R169" s="61"/>
      <c r="S169" s="59" t="s">
        <v>261</v>
      </c>
    </row>
    <row r="170" spans="2:33" ht="15" customHeight="1" x14ac:dyDescent="0.25">
      <c r="B170" s="59" t="s">
        <v>126</v>
      </c>
      <c r="C170" s="59" t="s">
        <v>436</v>
      </c>
      <c r="D170" s="60">
        <v>0</v>
      </c>
      <c r="E170" s="60">
        <v>0</v>
      </c>
      <c r="F170" s="60">
        <v>0</v>
      </c>
      <c r="G170" s="60">
        <v>0</v>
      </c>
      <c r="H170" s="60">
        <v>0</v>
      </c>
      <c r="I170" s="60">
        <v>0</v>
      </c>
      <c r="J170" s="60">
        <v>0</v>
      </c>
      <c r="K170" s="60">
        <v>0</v>
      </c>
      <c r="L170" s="60">
        <v>0</v>
      </c>
      <c r="M170" s="60">
        <v>0</v>
      </c>
      <c r="N170" s="60">
        <v>0</v>
      </c>
      <c r="O170" s="60">
        <v>0</v>
      </c>
      <c r="P170" s="60">
        <v>0</v>
      </c>
      <c r="Q170" s="61"/>
      <c r="R170" s="61"/>
      <c r="S170" s="59" t="s">
        <v>331</v>
      </c>
    </row>
    <row r="171" spans="2:33" ht="15" customHeight="1" x14ac:dyDescent="0.25">
      <c r="B171" s="135" t="str">
        <f>HYPERLINK("https://www.pbo.gov.au/elections/2025-general-election/2025-election-commitments-costings/boost-food-relief-charities", "ECR-2025-2387")</f>
        <v>ECR-2025-2387</v>
      </c>
      <c r="C171" s="59" t="s">
        <v>245</v>
      </c>
      <c r="D171" s="60">
        <v>-41.5</v>
      </c>
      <c r="E171" s="60">
        <v>-10.5</v>
      </c>
      <c r="F171" s="60">
        <v>-10.5</v>
      </c>
      <c r="G171" s="60">
        <v>-10.5</v>
      </c>
      <c r="H171" s="60">
        <v>0</v>
      </c>
      <c r="I171" s="60">
        <v>0</v>
      </c>
      <c r="J171" s="60">
        <v>0</v>
      </c>
      <c r="K171" s="60">
        <v>0</v>
      </c>
      <c r="L171" s="60">
        <v>0</v>
      </c>
      <c r="M171" s="60">
        <v>0</v>
      </c>
      <c r="N171" s="60">
        <v>0</v>
      </c>
      <c r="O171" s="60">
        <v>-73</v>
      </c>
      <c r="P171" s="60">
        <v>-73</v>
      </c>
      <c r="Q171" s="61"/>
      <c r="R171" s="61"/>
      <c r="S171" s="59" t="s">
        <v>332</v>
      </c>
    </row>
    <row r="172" spans="2:33" ht="15" customHeight="1" x14ac:dyDescent="0.25">
      <c r="B172" s="135" t="str">
        <f>HYPERLINK("https://www.pbo.gov.au/elections/2025-general-election/2025-election-commitments-costings/childcare-restoring-activity-test", "ECR-2025-2653")</f>
        <v>ECR-2025-2653</v>
      </c>
      <c r="C172" s="59" t="s">
        <v>437</v>
      </c>
      <c r="D172" s="60">
        <v>50.5</v>
      </c>
      <c r="E172" s="60">
        <v>117</v>
      </c>
      <c r="F172" s="60">
        <v>123.4</v>
      </c>
      <c r="G172" s="60">
        <v>129</v>
      </c>
      <c r="H172" s="60">
        <v>135</v>
      </c>
      <c r="I172" s="60">
        <v>142</v>
      </c>
      <c r="J172" s="60">
        <v>149</v>
      </c>
      <c r="K172" s="60">
        <v>155</v>
      </c>
      <c r="L172" s="60">
        <v>162</v>
      </c>
      <c r="M172" s="60">
        <v>169</v>
      </c>
      <c r="N172" s="60">
        <v>175</v>
      </c>
      <c r="O172" s="60">
        <v>419.9</v>
      </c>
      <c r="P172" s="60">
        <v>1506.9</v>
      </c>
      <c r="Q172" s="61"/>
      <c r="R172" s="61"/>
      <c r="S172" s="59" t="s">
        <v>261</v>
      </c>
    </row>
    <row r="173" spans="2:33" ht="15" customHeight="1" x14ac:dyDescent="0.25">
      <c r="B173" s="135" t="str">
        <f>HYPERLINK("https://www.pbo.gov.au/elections/2025-general-election/2025-election-commitments-costings/community-childcare-fund-regional-australia", "ECR-2025-2052")</f>
        <v>ECR-2025-2052</v>
      </c>
      <c r="C173" s="59" t="s">
        <v>438</v>
      </c>
      <c r="D173" s="60">
        <v>-50</v>
      </c>
      <c r="E173" s="60">
        <v>-50</v>
      </c>
      <c r="F173" s="60">
        <v>0</v>
      </c>
      <c r="G173" s="60">
        <v>0</v>
      </c>
      <c r="H173" s="60">
        <v>0</v>
      </c>
      <c r="I173" s="60">
        <v>0</v>
      </c>
      <c r="J173" s="60">
        <v>0</v>
      </c>
      <c r="K173" s="60">
        <v>0</v>
      </c>
      <c r="L173" s="60">
        <v>0</v>
      </c>
      <c r="M173" s="60">
        <v>0</v>
      </c>
      <c r="N173" s="60">
        <v>0</v>
      </c>
      <c r="O173" s="60">
        <v>-100</v>
      </c>
      <c r="P173" s="60">
        <v>-100</v>
      </c>
      <c r="Q173" s="61"/>
      <c r="R173" s="61"/>
      <c r="S173" s="59" t="s">
        <v>261</v>
      </c>
    </row>
    <row r="174" spans="2:33" ht="15" customHeight="1" x14ac:dyDescent="0.25">
      <c r="B174" s="135" t="str">
        <f>HYPERLINK("https://www.pbo.gov.au/elections/2025-general-election/2025-election-commitments-costings/explicit-teaching-accelerator-fund", "ECR-2025-2563")</f>
        <v>ECR-2025-2563</v>
      </c>
      <c r="C174" s="59" t="s">
        <v>189</v>
      </c>
      <c r="D174" s="60">
        <v>-0.5</v>
      </c>
      <c r="E174" s="60">
        <v>-7</v>
      </c>
      <c r="F174" s="60">
        <v>-7</v>
      </c>
      <c r="G174" s="60">
        <v>-6.9</v>
      </c>
      <c r="H174" s="60">
        <v>0</v>
      </c>
      <c r="I174" s="60">
        <v>0</v>
      </c>
      <c r="J174" s="60">
        <v>0</v>
      </c>
      <c r="K174" s="60">
        <v>0</v>
      </c>
      <c r="L174" s="60">
        <v>0</v>
      </c>
      <c r="M174" s="60">
        <v>0</v>
      </c>
      <c r="N174" s="60">
        <v>0</v>
      </c>
      <c r="O174" s="60">
        <v>-21.4</v>
      </c>
      <c r="P174" s="60">
        <v>-21.4</v>
      </c>
      <c r="Q174" s="61"/>
      <c r="R174" s="61"/>
      <c r="S174" s="59" t="s">
        <v>333</v>
      </c>
    </row>
    <row r="175" spans="2:33" ht="15" customHeight="1" x14ac:dyDescent="0.25">
      <c r="B175" s="59" t="s">
        <v>125</v>
      </c>
      <c r="C175" s="59" t="s">
        <v>439</v>
      </c>
      <c r="D175" s="60">
        <v>0</v>
      </c>
      <c r="E175" s="60">
        <v>0</v>
      </c>
      <c r="F175" s="60">
        <v>0</v>
      </c>
      <c r="G175" s="60">
        <v>0</v>
      </c>
      <c r="H175" s="60">
        <v>0</v>
      </c>
      <c r="I175" s="60">
        <v>0</v>
      </c>
      <c r="J175" s="60">
        <v>0</v>
      </c>
      <c r="K175" s="60">
        <v>0</v>
      </c>
      <c r="L175" s="60">
        <v>0</v>
      </c>
      <c r="M175" s="60">
        <v>0</v>
      </c>
      <c r="N175" s="60">
        <v>0</v>
      </c>
      <c r="O175" s="60">
        <v>0</v>
      </c>
      <c r="P175" s="60">
        <v>0</v>
      </c>
      <c r="Q175" s="61"/>
      <c r="R175" s="61"/>
      <c r="S175" s="59" t="s">
        <v>261</v>
      </c>
    </row>
    <row r="176" spans="2:33" ht="15" customHeight="1" x14ac:dyDescent="0.25">
      <c r="B176" s="135" t="str">
        <f>HYPERLINK("https://www.pbo.gov.au/elections/2025-general-election/2025-election-commitments-costings/High-quality-Graduate-Diplomas-of-Education", "ECR-2025-2868")</f>
        <v>ECR-2025-2868</v>
      </c>
      <c r="C176" s="59" t="s">
        <v>447</v>
      </c>
      <c r="D176" s="60">
        <v>0</v>
      </c>
      <c r="E176" s="60">
        <v>49.3</v>
      </c>
      <c r="F176" s="60">
        <v>101.2</v>
      </c>
      <c r="G176" s="60">
        <v>109.1</v>
      </c>
      <c r="H176" s="60">
        <v>117.4</v>
      </c>
      <c r="I176" s="60">
        <v>125.9</v>
      </c>
      <c r="J176" s="60">
        <v>136.4</v>
      </c>
      <c r="K176" s="60">
        <v>146.5</v>
      </c>
      <c r="L176" s="60">
        <v>158.19999999999999</v>
      </c>
      <c r="M176" s="60">
        <v>170.2</v>
      </c>
      <c r="N176" s="60">
        <v>183.9</v>
      </c>
      <c r="O176" s="60">
        <v>259.60000000000002</v>
      </c>
      <c r="P176" s="60">
        <v>1298.0999999999999</v>
      </c>
      <c r="Q176" s="61"/>
      <c r="R176" s="61"/>
      <c r="S176" s="59" t="s">
        <v>333</v>
      </c>
    </row>
    <row r="177" spans="2:19" ht="15" customHeight="1" x14ac:dyDescent="0.25">
      <c r="B177" s="59" t="s">
        <v>123</v>
      </c>
      <c r="C177" s="59" t="s">
        <v>407</v>
      </c>
      <c r="D177" s="60">
        <v>0</v>
      </c>
      <c r="E177" s="60">
        <v>0</v>
      </c>
      <c r="F177" s="60">
        <v>0</v>
      </c>
      <c r="G177" s="60">
        <v>0</v>
      </c>
      <c r="H177" s="60">
        <v>0</v>
      </c>
      <c r="I177" s="60">
        <v>0</v>
      </c>
      <c r="J177" s="60">
        <v>0</v>
      </c>
      <c r="K177" s="60">
        <v>0</v>
      </c>
      <c r="L177" s="60">
        <v>0</v>
      </c>
      <c r="M177" s="60">
        <v>0</v>
      </c>
      <c r="N177" s="60">
        <v>0</v>
      </c>
      <c r="O177" s="60">
        <v>0</v>
      </c>
      <c r="P177" s="60">
        <v>0</v>
      </c>
      <c r="Q177" s="61"/>
      <c r="R177" s="61"/>
      <c r="S177" s="59" t="s">
        <v>334</v>
      </c>
    </row>
    <row r="178" spans="2:19" ht="15" customHeight="1" x14ac:dyDescent="0.25">
      <c r="B178" s="135" t="str">
        <f>HYPERLINK("https://www.pbo.gov.au/elections/2025-general-election/2025-election-commitments-costings/increasing-isolated-children-boarding-school-allowance", "ECR-2025-2381")</f>
        <v>ECR-2025-2381</v>
      </c>
      <c r="C178" s="59" t="s">
        <v>183</v>
      </c>
      <c r="D178" s="60">
        <v>-20</v>
      </c>
      <c r="E178" s="60">
        <v>-20</v>
      </c>
      <c r="F178" s="60">
        <v>0</v>
      </c>
      <c r="G178" s="60">
        <v>0</v>
      </c>
      <c r="H178" s="60">
        <v>0</v>
      </c>
      <c r="I178" s="60">
        <v>0</v>
      </c>
      <c r="J178" s="60">
        <v>0</v>
      </c>
      <c r="K178" s="60">
        <v>0</v>
      </c>
      <c r="L178" s="60">
        <v>0</v>
      </c>
      <c r="M178" s="60">
        <v>0</v>
      </c>
      <c r="N178" s="60">
        <v>0</v>
      </c>
      <c r="O178" s="60">
        <v>-40</v>
      </c>
      <c r="P178" s="60">
        <v>-40</v>
      </c>
      <c r="Q178" s="61"/>
      <c r="R178" s="61"/>
      <c r="S178" s="59" t="s">
        <v>334</v>
      </c>
    </row>
    <row r="179" spans="2:19" ht="15" customHeight="1" x14ac:dyDescent="0.25">
      <c r="B179" s="135" t="str">
        <f>HYPERLINK("https://www.pbo.gov.au/elections/2025-general-election/2025-election-commitments-costings/investing-regional-health-education-infrastructure-and-workforce", "ECR-2025-2888")</f>
        <v>ECR-2025-2888</v>
      </c>
      <c r="C179" s="59" t="s">
        <v>215</v>
      </c>
      <c r="D179" s="60">
        <v>-38.200000000000003</v>
      </c>
      <c r="E179" s="60">
        <v>-41.9</v>
      </c>
      <c r="F179" s="60">
        <v>-47.1</v>
      </c>
      <c r="G179" s="60">
        <v>-14.8</v>
      </c>
      <c r="H179" s="60">
        <v>-15.7</v>
      </c>
      <c r="I179" s="60">
        <v>-13.5</v>
      </c>
      <c r="J179" s="60">
        <v>-10.9</v>
      </c>
      <c r="K179" s="60">
        <v>-8</v>
      </c>
      <c r="L179" s="60">
        <v>-7.9</v>
      </c>
      <c r="M179" s="60">
        <v>-8.1</v>
      </c>
      <c r="N179" s="60">
        <v>-8.4</v>
      </c>
      <c r="O179" s="60">
        <v>-142</v>
      </c>
      <c r="P179" s="60">
        <v>-214.5</v>
      </c>
      <c r="Q179" s="61"/>
      <c r="R179" s="61"/>
      <c r="S179" s="59" t="s">
        <v>335</v>
      </c>
    </row>
    <row r="180" spans="2:19" ht="15" customHeight="1" x14ac:dyDescent="0.25">
      <c r="B180" s="135" t="str">
        <f>HYPERLINK("https://www.pbo.gov.au/elections/2025-general-election/2025-election-commitments-costings/Maddie%20Riewoldt%E2%80%99s%20Vision%20%E2%80%93%20additional%20support", "ECR-2025-2302")</f>
        <v>ECR-2025-2302</v>
      </c>
      <c r="C180" s="59" t="s">
        <v>178</v>
      </c>
      <c r="D180" s="60">
        <v>-3</v>
      </c>
      <c r="E180" s="60">
        <v>0</v>
      </c>
      <c r="F180" s="60">
        <v>0</v>
      </c>
      <c r="G180" s="60">
        <v>0</v>
      </c>
      <c r="H180" s="60">
        <v>0</v>
      </c>
      <c r="I180" s="60">
        <v>0</v>
      </c>
      <c r="J180" s="60">
        <v>0</v>
      </c>
      <c r="K180" s="60">
        <v>0</v>
      </c>
      <c r="L180" s="60">
        <v>0</v>
      </c>
      <c r="M180" s="60">
        <v>0</v>
      </c>
      <c r="N180" s="60">
        <v>0</v>
      </c>
      <c r="O180" s="60">
        <v>-3</v>
      </c>
      <c r="P180" s="60">
        <v>-3</v>
      </c>
      <c r="Q180" s="61"/>
      <c r="R180" s="61"/>
      <c r="S180" s="59" t="s">
        <v>336</v>
      </c>
    </row>
    <row r="181" spans="2:19" ht="15" customHeight="1" x14ac:dyDescent="0.25">
      <c r="B181" s="135" t="str">
        <f>HYPERLINK("https://www.pbo.gov.au/elections/2025-general-election/2025-election-commitments-costings/Making%20it%20easier%20to%20access%20Medicare%20subsidised%20psychology%20sessions", "ECR-2025-2529")</f>
        <v>ECR-2025-2529</v>
      </c>
      <c r="C181" s="59" t="s">
        <v>256</v>
      </c>
      <c r="D181" s="60">
        <v>19.7</v>
      </c>
      <c r="E181" s="60">
        <v>21.2</v>
      </c>
      <c r="F181" s="60">
        <v>21.9</v>
      </c>
      <c r="G181" s="60">
        <v>22.6</v>
      </c>
      <c r="H181" s="60">
        <v>23.4</v>
      </c>
      <c r="I181" s="60">
        <v>24.2</v>
      </c>
      <c r="J181" s="60">
        <v>25.1</v>
      </c>
      <c r="K181" s="60">
        <v>26</v>
      </c>
      <c r="L181" s="60">
        <v>26.9</v>
      </c>
      <c r="M181" s="60">
        <v>27.9</v>
      </c>
      <c r="N181" s="60">
        <v>28.9</v>
      </c>
      <c r="O181" s="60">
        <v>85.4</v>
      </c>
      <c r="P181" s="60">
        <v>267.8</v>
      </c>
      <c r="Q181" s="61"/>
      <c r="R181" s="61"/>
      <c r="S181" s="59" t="s">
        <v>261</v>
      </c>
    </row>
    <row r="182" spans="2:19" ht="15" customHeight="1" x14ac:dyDescent="0.25">
      <c r="B182" s="135" t="str">
        <f>HYPERLINK("https://www.pbo.gov.au/elections/2025-general-election/2025-election-commitments-costings/national-institute-mental-health-expansion", "ECR-2025-2288")</f>
        <v>ECR-2025-2288</v>
      </c>
      <c r="C182" s="59" t="s">
        <v>182</v>
      </c>
      <c r="D182" s="60">
        <v>0</v>
      </c>
      <c r="E182" s="60">
        <v>-9</v>
      </c>
      <c r="F182" s="60">
        <v>-9</v>
      </c>
      <c r="G182" s="60">
        <v>-9</v>
      </c>
      <c r="H182" s="60">
        <v>-9</v>
      </c>
      <c r="I182" s="60">
        <v>-9</v>
      </c>
      <c r="J182" s="60">
        <v>-9</v>
      </c>
      <c r="K182" s="60">
        <v>-9</v>
      </c>
      <c r="L182" s="60">
        <v>-9</v>
      </c>
      <c r="M182" s="60">
        <v>-9</v>
      </c>
      <c r="N182" s="60">
        <v>-9</v>
      </c>
      <c r="O182" s="60">
        <v>-27</v>
      </c>
      <c r="P182" s="60">
        <v>-90</v>
      </c>
      <c r="Q182" s="61"/>
      <c r="R182" s="61"/>
      <c r="S182" s="59" t="s">
        <v>337</v>
      </c>
    </row>
    <row r="183" spans="2:19" ht="15" customHeight="1" x14ac:dyDescent="0.25">
      <c r="B183" s="135" t="str">
        <f>HYPERLINK("https://www.pbo.gov.au/elections/2025-general-election/2025-election-commitments-costings/national-school-chaplaincy-program-additional-resourcing", "ECR-2025-2425")</f>
        <v>ECR-2025-2425</v>
      </c>
      <c r="C183" s="59" t="s">
        <v>180</v>
      </c>
      <c r="D183" s="60">
        <v>-4.5999999999999996</v>
      </c>
      <c r="E183" s="60">
        <v>-10.3</v>
      </c>
      <c r="F183" s="60">
        <v>-12.5</v>
      </c>
      <c r="G183" s="60">
        <v>-15</v>
      </c>
      <c r="H183" s="60">
        <v>-17.399999999999999</v>
      </c>
      <c r="I183" s="60">
        <v>-19.8</v>
      </c>
      <c r="J183" s="60">
        <v>-22.2</v>
      </c>
      <c r="K183" s="60">
        <v>-24.7</v>
      </c>
      <c r="L183" s="60">
        <v>-27.3</v>
      </c>
      <c r="M183" s="60">
        <v>-30</v>
      </c>
      <c r="N183" s="60">
        <v>-32.700000000000003</v>
      </c>
      <c r="O183" s="60">
        <v>-42.4</v>
      </c>
      <c r="P183" s="60">
        <v>-216.5</v>
      </c>
      <c r="Q183" s="61"/>
      <c r="R183" s="61"/>
      <c r="S183" s="59" t="s">
        <v>334</v>
      </c>
    </row>
    <row r="184" spans="2:19" ht="15" customHeight="1" x14ac:dyDescent="0.25">
      <c r="B184" s="135" t="str">
        <f>HYPERLINK("https://www.pbo.gov.au/elections/2025-general-election/2025-election-commitments-costings/New%20BOM%20radar%20in%20Central%20Queensland", "ECR-2025-2658")</f>
        <v>ECR-2025-2658</v>
      </c>
      <c r="C184" s="59" t="s">
        <v>440</v>
      </c>
      <c r="D184" s="60">
        <v>-4</v>
      </c>
      <c r="E184" s="60">
        <v>-2</v>
      </c>
      <c r="F184" s="60">
        <v>-2</v>
      </c>
      <c r="G184" s="60">
        <v>-2</v>
      </c>
      <c r="H184" s="60">
        <v>0</v>
      </c>
      <c r="I184" s="60">
        <v>0</v>
      </c>
      <c r="J184" s="60">
        <v>0</v>
      </c>
      <c r="K184" s="60">
        <v>0</v>
      </c>
      <c r="L184" s="60">
        <v>0</v>
      </c>
      <c r="M184" s="60">
        <v>0</v>
      </c>
      <c r="N184" s="60">
        <v>0</v>
      </c>
      <c r="O184" s="60">
        <v>-10</v>
      </c>
      <c r="P184" s="60">
        <v>-10</v>
      </c>
      <c r="Q184" s="61"/>
      <c r="R184" s="61"/>
      <c r="S184" s="59" t="s">
        <v>338</v>
      </c>
    </row>
    <row r="185" spans="2:19" ht="15" customHeight="1" x14ac:dyDescent="0.25">
      <c r="B185" s="135" t="str">
        <f>HYPERLINK("https://www.pbo.gov.au/elections/2025-general-election/2025-election-commitments-costings/new-health-and-engineering-wing-CQuniversity", "ECR-2025-2437")</f>
        <v>ECR-2025-2437</v>
      </c>
      <c r="C185" s="59" t="s">
        <v>441</v>
      </c>
      <c r="D185" s="60">
        <v>-15</v>
      </c>
      <c r="E185" s="60">
        <v>-7.5</v>
      </c>
      <c r="F185" s="60">
        <v>-5</v>
      </c>
      <c r="G185" s="60">
        <v>0</v>
      </c>
      <c r="H185" s="60">
        <v>0</v>
      </c>
      <c r="I185" s="60">
        <v>0</v>
      </c>
      <c r="J185" s="60">
        <v>0</v>
      </c>
      <c r="K185" s="60">
        <v>0</v>
      </c>
      <c r="L185" s="60">
        <v>0</v>
      </c>
      <c r="M185" s="60">
        <v>0</v>
      </c>
      <c r="N185" s="60">
        <v>0</v>
      </c>
      <c r="O185" s="60">
        <v>-27.5</v>
      </c>
      <c r="P185" s="60">
        <v>-27.5</v>
      </c>
      <c r="Q185" s="61"/>
      <c r="R185" s="61"/>
      <c r="S185" s="59" t="s">
        <v>280</v>
      </c>
    </row>
    <row r="186" spans="2:19" ht="15" customHeight="1" x14ac:dyDescent="0.25">
      <c r="B186" s="135" t="str">
        <f>HYPERLINK("https://www.pbo.gov.au/elections/2025-general-election/2025-election-commitments-costings/next-stages-creutzfeldt-jakob-disease-longitudinal-study", "ECR-2025-2209")</f>
        <v>ECR-2025-2209</v>
      </c>
      <c r="C186" s="59" t="s">
        <v>177</v>
      </c>
      <c r="D186" s="60">
        <v>0</v>
      </c>
      <c r="E186" s="60">
        <v>0</v>
      </c>
      <c r="F186" s="60">
        <v>-0.2</v>
      </c>
      <c r="G186" s="60">
        <v>-0.1</v>
      </c>
      <c r="H186" s="60">
        <v>0</v>
      </c>
      <c r="I186" s="60">
        <v>0</v>
      </c>
      <c r="J186" s="60">
        <v>0</v>
      </c>
      <c r="K186" s="60">
        <v>0</v>
      </c>
      <c r="L186" s="60">
        <v>0</v>
      </c>
      <c r="M186" s="60">
        <v>0</v>
      </c>
      <c r="N186" s="60">
        <v>0</v>
      </c>
      <c r="O186" s="60">
        <v>-0.3</v>
      </c>
      <c r="P186" s="60">
        <v>-0.3</v>
      </c>
      <c r="Q186" s="61"/>
      <c r="R186" s="61"/>
      <c r="S186" s="59" t="s">
        <v>280</v>
      </c>
    </row>
    <row r="187" spans="2:19" ht="15" customHeight="1" x14ac:dyDescent="0.25">
      <c r="B187" s="135" t="str">
        <f>HYPERLINK("https://www.pbo.gov.au/elections/2025-general-election/2025-election-commitments-costings/non-government-school-18-month-foundation-program", "ECR-2025-2648")</f>
        <v>ECR-2025-2648</v>
      </c>
      <c r="C187" s="59" t="s">
        <v>630</v>
      </c>
      <c r="D187" s="60">
        <v>-22</v>
      </c>
      <c r="E187" s="60">
        <v>0</v>
      </c>
      <c r="F187" s="60">
        <v>0</v>
      </c>
      <c r="G187" s="60">
        <v>0</v>
      </c>
      <c r="H187" s="60">
        <v>0</v>
      </c>
      <c r="I187" s="60">
        <v>0</v>
      </c>
      <c r="J187" s="60">
        <v>0</v>
      </c>
      <c r="K187" s="60">
        <v>0</v>
      </c>
      <c r="L187" s="60">
        <v>0</v>
      </c>
      <c r="M187" s="60">
        <v>0</v>
      </c>
      <c r="N187" s="60">
        <v>0</v>
      </c>
      <c r="O187" s="60">
        <v>-22</v>
      </c>
      <c r="P187" s="60">
        <v>-22</v>
      </c>
      <c r="Q187" s="61"/>
      <c r="R187" s="61"/>
      <c r="S187" s="59" t="s">
        <v>261</v>
      </c>
    </row>
    <row r="188" spans="2:19" ht="15" customHeight="1" x14ac:dyDescent="0.25">
      <c r="B188" s="135" t="str">
        <f>HYPERLINK("https://www.pbo.gov.au/elections/2025-general-election/2025-election-commitments-costings/northern-australia-and-rangelands-fire-information", "ECR-2025-2154")</f>
        <v>ECR-2025-2154</v>
      </c>
      <c r="C188" s="59" t="s">
        <v>188</v>
      </c>
      <c r="D188" s="60">
        <v>-0.9</v>
      </c>
      <c r="E188" s="60">
        <v>-0.8</v>
      </c>
      <c r="F188" s="60">
        <v>-0.8</v>
      </c>
      <c r="G188" s="60">
        <v>0</v>
      </c>
      <c r="H188" s="60">
        <v>0</v>
      </c>
      <c r="I188" s="60">
        <v>0</v>
      </c>
      <c r="J188" s="60">
        <v>0</v>
      </c>
      <c r="K188" s="60">
        <v>0</v>
      </c>
      <c r="L188" s="60">
        <v>0</v>
      </c>
      <c r="M188" s="60">
        <v>0</v>
      </c>
      <c r="N188" s="60">
        <v>0</v>
      </c>
      <c r="O188" s="60">
        <v>-2.5</v>
      </c>
      <c r="P188" s="60">
        <v>-2.5</v>
      </c>
      <c r="Q188" s="61"/>
      <c r="R188" s="61"/>
      <c r="S188" s="59" t="s">
        <v>313</v>
      </c>
    </row>
    <row r="189" spans="2:19" ht="15" customHeight="1" x14ac:dyDescent="0.25">
      <c r="B189" s="135" t="str">
        <f>HYPERLINK("https://www.pbo.gov.au/elections/2025-general-election/2025-election-commitments-costings/Outcomes-based%20indigenous%20health%20delivery%20%E2%80%93%20CareFlight%20investment", "ECR-2025-2181")</f>
        <v>ECR-2025-2181</v>
      </c>
      <c r="C189" s="59" t="s">
        <v>442</v>
      </c>
      <c r="D189" s="60">
        <v>-10</v>
      </c>
      <c r="E189" s="60">
        <v>0</v>
      </c>
      <c r="F189" s="60">
        <v>0</v>
      </c>
      <c r="G189" s="60">
        <v>0</v>
      </c>
      <c r="H189" s="60">
        <v>0</v>
      </c>
      <c r="I189" s="60">
        <v>0</v>
      </c>
      <c r="J189" s="60">
        <v>0</v>
      </c>
      <c r="K189" s="60">
        <v>0</v>
      </c>
      <c r="L189" s="60">
        <v>0</v>
      </c>
      <c r="M189" s="60">
        <v>0</v>
      </c>
      <c r="N189" s="60">
        <v>0</v>
      </c>
      <c r="O189" s="60">
        <v>-10</v>
      </c>
      <c r="P189" s="60">
        <v>-10</v>
      </c>
      <c r="Q189" s="61"/>
      <c r="R189" s="61"/>
      <c r="S189" s="59" t="s">
        <v>339</v>
      </c>
    </row>
    <row r="190" spans="2:19" ht="15" customHeight="1" x14ac:dyDescent="0.25">
      <c r="B190" s="135" t="str">
        <f>HYPERLINK("https://www.pbo.gov.au/elections/2025-general-election/2025-election-commitments-costings/Tresillian%20Family%20Care%20Centre", "ECR-2025-2514")</f>
        <v>ECR-2025-2514</v>
      </c>
      <c r="C190" s="59" t="s">
        <v>443</v>
      </c>
      <c r="D190" s="60">
        <v>-2.1</v>
      </c>
      <c r="E190" s="60">
        <v>-1.8</v>
      </c>
      <c r="F190" s="60">
        <v>-1.8</v>
      </c>
      <c r="G190" s="60">
        <v>-1.9</v>
      </c>
      <c r="H190" s="60">
        <v>0</v>
      </c>
      <c r="I190" s="60">
        <v>0</v>
      </c>
      <c r="J190" s="60">
        <v>0</v>
      </c>
      <c r="K190" s="60">
        <v>0</v>
      </c>
      <c r="L190" s="60">
        <v>0</v>
      </c>
      <c r="M190" s="60">
        <v>0</v>
      </c>
      <c r="N190" s="60">
        <v>0</v>
      </c>
      <c r="O190" s="60">
        <v>-7.6</v>
      </c>
      <c r="P190" s="60">
        <v>-7.6</v>
      </c>
      <c r="Q190" s="61"/>
      <c r="R190" s="61"/>
      <c r="S190" s="59" t="s">
        <v>340</v>
      </c>
    </row>
    <row r="191" spans="2:19" ht="15" customHeight="1" x14ac:dyDescent="0.25">
      <c r="B191" s="135" t="str">
        <f>HYPERLINK("https://www.pbo.gov.au/elections/2025-general-election/2025-election-commitments-costings/ovarian-cancer-australia", "ECR-2025-2819")</f>
        <v>ECR-2025-2819</v>
      </c>
      <c r="C191" s="59" t="s">
        <v>187</v>
      </c>
      <c r="D191" s="60">
        <v>-2</v>
      </c>
      <c r="E191" s="60">
        <v>-2</v>
      </c>
      <c r="F191" s="60">
        <v>0</v>
      </c>
      <c r="G191" s="60">
        <v>0</v>
      </c>
      <c r="H191" s="60">
        <v>0</v>
      </c>
      <c r="I191" s="60">
        <v>0</v>
      </c>
      <c r="J191" s="60">
        <v>0</v>
      </c>
      <c r="K191" s="60">
        <v>0</v>
      </c>
      <c r="L191" s="60">
        <v>0</v>
      </c>
      <c r="M191" s="60">
        <v>0</v>
      </c>
      <c r="N191" s="60">
        <v>0</v>
      </c>
      <c r="O191" s="60">
        <v>-4</v>
      </c>
      <c r="P191" s="60">
        <v>-4</v>
      </c>
      <c r="Q191" s="61"/>
      <c r="R191" s="61"/>
      <c r="S191" s="59" t="s">
        <v>280</v>
      </c>
    </row>
    <row r="192" spans="2:19" ht="15" customHeight="1" x14ac:dyDescent="0.25">
      <c r="B192" s="135" t="str">
        <f>HYPERLINK("https://www.pbo.gov.au/elections/2025-general-election/2025-election-commitments-costings/permanently-restoring-20-psychology-sessions-and-investing-headspace-centres-youth-psychosis-centres-and-additional-urgent-care-clinics", "ECR-2025-2164")</f>
        <v>ECR-2025-2164</v>
      </c>
      <c r="C192" s="59" t="s">
        <v>244</v>
      </c>
      <c r="D192" s="60">
        <v>-18.600000000000001</v>
      </c>
      <c r="E192" s="60">
        <v>-80.7</v>
      </c>
      <c r="F192" s="60">
        <v>-108.6</v>
      </c>
      <c r="G192" s="60">
        <v>-263.5</v>
      </c>
      <c r="H192" s="60">
        <v>-238.9</v>
      </c>
      <c r="I192" s="60">
        <v>-244.9</v>
      </c>
      <c r="J192" s="60">
        <v>-249.9</v>
      </c>
      <c r="K192" s="60">
        <v>-254.9</v>
      </c>
      <c r="L192" s="60">
        <v>-261</v>
      </c>
      <c r="M192" s="60">
        <v>-266</v>
      </c>
      <c r="N192" s="60">
        <v>-272</v>
      </c>
      <c r="O192" s="60">
        <v>-471.4</v>
      </c>
      <c r="P192" s="60">
        <v>-2259</v>
      </c>
      <c r="Q192" s="61"/>
      <c r="R192" s="61"/>
      <c r="S192" s="59" t="s">
        <v>341</v>
      </c>
    </row>
    <row r="193" spans="2:19" ht="15" customHeight="1" x14ac:dyDescent="0.25">
      <c r="B193" s="135" t="str">
        <f>HYPERLINK("https://www.pbo.gov.au/elections/2025-general-election/2025-election-commitments-costings/ready-to-read-program", "ECR-2025-2172")</f>
        <v>ECR-2025-2172</v>
      </c>
      <c r="C193" s="59" t="s">
        <v>173</v>
      </c>
      <c r="D193" s="60">
        <v>-0.6</v>
      </c>
      <c r="E193" s="60">
        <v>-0.6</v>
      </c>
      <c r="F193" s="60">
        <v>-1</v>
      </c>
      <c r="G193" s="60">
        <v>-1.6</v>
      </c>
      <c r="H193" s="60">
        <v>0</v>
      </c>
      <c r="I193" s="60">
        <v>0</v>
      </c>
      <c r="J193" s="60">
        <v>0</v>
      </c>
      <c r="K193" s="60">
        <v>0</v>
      </c>
      <c r="L193" s="60">
        <v>0</v>
      </c>
      <c r="M193" s="60">
        <v>0</v>
      </c>
      <c r="N193" s="60">
        <v>0</v>
      </c>
      <c r="O193" s="60">
        <v>-3.8</v>
      </c>
      <c r="P193" s="60">
        <v>-3.8</v>
      </c>
      <c r="Q193" s="61"/>
      <c r="R193" s="61"/>
      <c r="S193" s="59" t="s">
        <v>342</v>
      </c>
    </row>
    <row r="194" spans="2:19" ht="15" customHeight="1" x14ac:dyDescent="0.25">
      <c r="B194" s="135" t="str">
        <f>HYPERLINK("https://www.pbo.gov.au/elections/2025-general-election/2025-election-commitments-costings/Remote-Indigenous-student-success-boarding-fund", "ECR-2025-2719")</f>
        <v>ECR-2025-2719</v>
      </c>
      <c r="C194" s="59" t="s">
        <v>214</v>
      </c>
      <c r="D194" s="60">
        <v>-50</v>
      </c>
      <c r="E194" s="60">
        <v>-53.1</v>
      </c>
      <c r="F194" s="60">
        <v>-6.3</v>
      </c>
      <c r="G194" s="60">
        <v>-6.5</v>
      </c>
      <c r="H194" s="60">
        <v>-6.7</v>
      </c>
      <c r="I194" s="60">
        <v>0</v>
      </c>
      <c r="J194" s="60">
        <v>0</v>
      </c>
      <c r="K194" s="60">
        <v>0</v>
      </c>
      <c r="L194" s="60">
        <v>0</v>
      </c>
      <c r="M194" s="60">
        <v>0</v>
      </c>
      <c r="N194" s="60">
        <v>0</v>
      </c>
      <c r="O194" s="60">
        <v>-115.9</v>
      </c>
      <c r="P194" s="60">
        <v>-122.6</v>
      </c>
      <c r="Q194" s="61"/>
      <c r="R194" s="61"/>
      <c r="S194" s="59" t="s">
        <v>334</v>
      </c>
    </row>
    <row r="195" spans="2:19" ht="15" customHeight="1" x14ac:dyDescent="0.25">
      <c r="B195" s="135" t="str">
        <f>HYPERLINK("https://www.pbo.gov.au/elections/2025-general-election/2025-election-commitments-costings/Review%20of%20women-specific%20health%20items%20on%20the%20MBS%20and%20PBS", "ECR-2025-2747")</f>
        <v>ECR-2025-2747</v>
      </c>
      <c r="C195" s="59" t="s">
        <v>175</v>
      </c>
      <c r="D195" s="60">
        <v>-5</v>
      </c>
      <c r="E195" s="60">
        <v>0</v>
      </c>
      <c r="F195" s="60">
        <v>0</v>
      </c>
      <c r="G195" s="60">
        <v>0</v>
      </c>
      <c r="H195" s="60">
        <v>0</v>
      </c>
      <c r="I195" s="60">
        <v>0</v>
      </c>
      <c r="J195" s="60">
        <v>0</v>
      </c>
      <c r="K195" s="60">
        <v>0</v>
      </c>
      <c r="L195" s="60">
        <v>0</v>
      </c>
      <c r="M195" s="60">
        <v>0</v>
      </c>
      <c r="N195" s="60">
        <v>0</v>
      </c>
      <c r="O195" s="60">
        <v>-5</v>
      </c>
      <c r="P195" s="60">
        <v>-5</v>
      </c>
      <c r="Q195" s="61"/>
      <c r="R195" s="61"/>
      <c r="S195" s="59" t="s">
        <v>280</v>
      </c>
    </row>
    <row r="196" spans="2:19" ht="15" customHeight="1" x14ac:dyDescent="0.25">
      <c r="B196" s="59" t="s">
        <v>122</v>
      </c>
      <c r="C196" s="59" t="s">
        <v>408</v>
      </c>
      <c r="D196" s="60">
        <v>0</v>
      </c>
      <c r="E196" s="60">
        <v>0</v>
      </c>
      <c r="F196" s="60">
        <v>0</v>
      </c>
      <c r="G196" s="60">
        <v>0</v>
      </c>
      <c r="H196" s="60">
        <v>0</v>
      </c>
      <c r="I196" s="60">
        <v>0</v>
      </c>
      <c r="J196" s="60">
        <v>0</v>
      </c>
      <c r="K196" s="60">
        <v>0</v>
      </c>
      <c r="L196" s="60">
        <v>0</v>
      </c>
      <c r="M196" s="60">
        <v>0</v>
      </c>
      <c r="N196" s="60">
        <v>0</v>
      </c>
      <c r="O196" s="60">
        <v>0</v>
      </c>
      <c r="P196" s="60">
        <v>0</v>
      </c>
      <c r="Q196" s="61"/>
      <c r="R196" s="61"/>
      <c r="S196" s="59" t="s">
        <v>343</v>
      </c>
    </row>
    <row r="197" spans="2:19" ht="15" customHeight="1" x14ac:dyDescent="0.25">
      <c r="B197" s="59" t="s">
        <v>121</v>
      </c>
      <c r="C197" s="59" t="s">
        <v>409</v>
      </c>
      <c r="D197" s="60">
        <v>0</v>
      </c>
      <c r="E197" s="60">
        <v>0</v>
      </c>
      <c r="F197" s="60">
        <v>0</v>
      </c>
      <c r="G197" s="60">
        <v>0</v>
      </c>
      <c r="H197" s="60">
        <v>0</v>
      </c>
      <c r="I197" s="60">
        <v>0</v>
      </c>
      <c r="J197" s="60">
        <v>0</v>
      </c>
      <c r="K197" s="60">
        <v>0</v>
      </c>
      <c r="L197" s="60">
        <v>0</v>
      </c>
      <c r="M197" s="60">
        <v>0</v>
      </c>
      <c r="N197" s="60">
        <v>0</v>
      </c>
      <c r="O197" s="60">
        <v>0</v>
      </c>
      <c r="P197" s="60">
        <v>0</v>
      </c>
      <c r="Q197" s="61"/>
      <c r="R197" s="61"/>
      <c r="S197" s="59" t="s">
        <v>334</v>
      </c>
    </row>
    <row r="198" spans="2:19" ht="15" customHeight="1" x14ac:dyDescent="0.25">
      <c r="B198" s="135" t="str">
        <f>HYPERLINK("https://www.pbo.gov.au/elections/2025-general-election/2025-election-commitments-costings/specialised-care-subsidy-AEIOU-foundation", "ECR-2025-2432")</f>
        <v>ECR-2025-2432</v>
      </c>
      <c r="C198" s="59" t="s">
        <v>444</v>
      </c>
      <c r="D198" s="60">
        <v>-9</v>
      </c>
      <c r="E198" s="60">
        <v>-11</v>
      </c>
      <c r="F198" s="60">
        <v>-12</v>
      </c>
      <c r="G198" s="60">
        <v>-3</v>
      </c>
      <c r="H198" s="60">
        <v>0</v>
      </c>
      <c r="I198" s="60">
        <v>0</v>
      </c>
      <c r="J198" s="60">
        <v>0</v>
      </c>
      <c r="K198" s="60">
        <v>0</v>
      </c>
      <c r="L198" s="60">
        <v>0</v>
      </c>
      <c r="M198" s="60">
        <v>0</v>
      </c>
      <c r="N198" s="60">
        <v>0</v>
      </c>
      <c r="O198" s="60">
        <v>-35</v>
      </c>
      <c r="P198" s="60">
        <v>-35</v>
      </c>
      <c r="Q198" s="61"/>
      <c r="R198" s="61"/>
      <c r="S198" s="59" t="s">
        <v>333</v>
      </c>
    </row>
    <row r="199" spans="2:19" ht="15" customHeight="1" x14ac:dyDescent="0.25">
      <c r="B199" s="135" t="str">
        <f>HYPERLINK("https://www.pbo.gov.au/elections/2025-general-election/2025-election-commitments-costings/startup-year-loan-scheme-reprioritise", "ECR-2025-2763")</f>
        <v>ECR-2025-2763</v>
      </c>
      <c r="C199" s="59" t="s">
        <v>196</v>
      </c>
      <c r="D199" s="60">
        <v>26.1</v>
      </c>
      <c r="E199" s="60">
        <v>27.4</v>
      </c>
      <c r="F199" s="60">
        <v>28.9</v>
      </c>
      <c r="G199" s="60">
        <v>29.9</v>
      </c>
      <c r="H199" s="60">
        <v>31</v>
      </c>
      <c r="I199" s="60">
        <v>31.6</v>
      </c>
      <c r="J199" s="60">
        <v>32.1</v>
      </c>
      <c r="K199" s="60">
        <v>33</v>
      </c>
      <c r="L199" s="60">
        <v>33.6</v>
      </c>
      <c r="M199" s="60">
        <v>34.1</v>
      </c>
      <c r="N199" s="60">
        <v>34.700000000000003</v>
      </c>
      <c r="O199" s="60">
        <v>112.3</v>
      </c>
      <c r="P199" s="60">
        <v>342.4</v>
      </c>
      <c r="Q199" s="61"/>
      <c r="R199" s="61"/>
      <c r="S199" s="59" t="s">
        <v>261</v>
      </c>
    </row>
    <row r="200" spans="2:19" ht="15" customHeight="1" x14ac:dyDescent="0.25">
      <c r="B200" s="135" t="str">
        <f>HYPERLINK("https://www.pbo.gov.au/elections/2025-general-election/2025-election-commitments-costings/stay-afloat-australia-additional-support", "ECR-2025-2730")</f>
        <v>ECR-2025-2730</v>
      </c>
      <c r="C200" s="59" t="s">
        <v>179</v>
      </c>
      <c r="D200" s="60">
        <v>-1</v>
      </c>
      <c r="E200" s="60">
        <v>-1</v>
      </c>
      <c r="F200" s="60">
        <v>0</v>
      </c>
      <c r="G200" s="60">
        <v>0</v>
      </c>
      <c r="H200" s="60">
        <v>0</v>
      </c>
      <c r="I200" s="60">
        <v>0</v>
      </c>
      <c r="J200" s="60">
        <v>0</v>
      </c>
      <c r="K200" s="60">
        <v>0</v>
      </c>
      <c r="L200" s="60">
        <v>0</v>
      </c>
      <c r="M200" s="60">
        <v>0</v>
      </c>
      <c r="N200" s="60">
        <v>0</v>
      </c>
      <c r="O200" s="60">
        <v>-2</v>
      </c>
      <c r="P200" s="60">
        <v>-2</v>
      </c>
      <c r="Q200" s="61"/>
      <c r="R200" s="61"/>
      <c r="S200" s="59" t="s">
        <v>294</v>
      </c>
    </row>
    <row r="201" spans="2:19" ht="15" customHeight="1" x14ac:dyDescent="0.25">
      <c r="B201" s="135" t="str">
        <f>HYPERLINK("https://www.pbo.gov.au/elections/2025-general-election/2025-election-commitments-costings/Suicide-Prevention-Research-Fund", "ECR-2025-2194")</f>
        <v>ECR-2025-2194</v>
      </c>
      <c r="C201" s="59" t="s">
        <v>176</v>
      </c>
      <c r="D201" s="60">
        <v>-3.8</v>
      </c>
      <c r="E201" s="60">
        <v>-3.8</v>
      </c>
      <c r="F201" s="60">
        <v>-3.7</v>
      </c>
      <c r="G201" s="60">
        <v>-3.7</v>
      </c>
      <c r="H201" s="60">
        <v>0</v>
      </c>
      <c r="I201" s="60">
        <v>0</v>
      </c>
      <c r="J201" s="60">
        <v>0</v>
      </c>
      <c r="K201" s="60">
        <v>0</v>
      </c>
      <c r="L201" s="60">
        <v>0</v>
      </c>
      <c r="M201" s="60">
        <v>0</v>
      </c>
      <c r="N201" s="60">
        <v>0</v>
      </c>
      <c r="O201" s="60">
        <v>-15</v>
      </c>
      <c r="P201" s="60">
        <v>-15</v>
      </c>
      <c r="Q201" s="61"/>
      <c r="R201" s="61"/>
      <c r="S201" s="59" t="s">
        <v>344</v>
      </c>
    </row>
    <row r="202" spans="2:19" ht="15" customHeight="1" x14ac:dyDescent="0.25">
      <c r="B202" s="135" t="str">
        <f>HYPERLINK("https://www.pbo.gov.au/elections/2025-general-election/2025-election-commitments-costings/Superannuation%20on%20Paid%20Parental%20Leave%20%E2%80%93%20parental%20choice", "ECR-2025-2281")</f>
        <v>ECR-2025-2281</v>
      </c>
      <c r="C202" s="59" t="s">
        <v>224</v>
      </c>
      <c r="D202" s="60">
        <v>-287</v>
      </c>
      <c r="E202" s="60">
        <v>-41.3</v>
      </c>
      <c r="F202" s="60">
        <v>47.5</v>
      </c>
      <c r="G202" s="60">
        <v>52.7</v>
      </c>
      <c r="H202" s="60">
        <v>48.3</v>
      </c>
      <c r="I202" s="60">
        <v>43.8</v>
      </c>
      <c r="J202" s="60">
        <v>39.6</v>
      </c>
      <c r="K202" s="60">
        <v>42.7</v>
      </c>
      <c r="L202" s="60">
        <v>38</v>
      </c>
      <c r="M202" s="60">
        <v>32.5</v>
      </c>
      <c r="N202" s="60">
        <v>25</v>
      </c>
      <c r="O202" s="60">
        <v>-228.1</v>
      </c>
      <c r="P202" s="60">
        <v>41.8</v>
      </c>
      <c r="Q202" s="61"/>
      <c r="R202" s="61"/>
      <c r="S202" s="59" t="s">
        <v>345</v>
      </c>
    </row>
    <row r="203" spans="2:19" ht="15" customHeight="1" x14ac:dyDescent="0.25">
      <c r="B203" s="135" t="str">
        <f>HYPERLINK("https://www.pbo.gov.au/elections/2025-general-election/2025-election-commitments-costings/Support%20for%20Disaster%20Relief%20Australia%20for%20a%20National%20Veterans%20Volunteer%20Program", "ECR-2025-2647")</f>
        <v>ECR-2025-2647</v>
      </c>
      <c r="C203" s="59" t="s">
        <v>186</v>
      </c>
      <c r="D203" s="60">
        <v>0</v>
      </c>
      <c r="E203" s="60">
        <v>-21.5</v>
      </c>
      <c r="F203" s="60">
        <v>-21.5</v>
      </c>
      <c r="G203" s="60">
        <v>-21.5</v>
      </c>
      <c r="H203" s="60">
        <v>0</v>
      </c>
      <c r="I203" s="60">
        <v>0</v>
      </c>
      <c r="J203" s="60">
        <v>0</v>
      </c>
      <c r="K203" s="60">
        <v>0</v>
      </c>
      <c r="L203" s="60">
        <v>0</v>
      </c>
      <c r="M203" s="60">
        <v>0</v>
      </c>
      <c r="N203" s="60">
        <v>0</v>
      </c>
      <c r="O203" s="60">
        <v>-64.5</v>
      </c>
      <c r="P203" s="60">
        <v>-64.5</v>
      </c>
      <c r="Q203" s="61"/>
      <c r="R203" s="61"/>
      <c r="S203" s="59" t="s">
        <v>257</v>
      </c>
    </row>
    <row r="204" spans="2:19" ht="15" customHeight="1" x14ac:dyDescent="0.25">
      <c r="B204" s="135" t="str">
        <f>HYPERLINK("https://www.pbo.gov.au/elections/2025-general-election/2025-election-commitments-costings/Supporting%20Community%20Healthcare", "ECR-2025-2448")</f>
        <v>ECR-2025-2448</v>
      </c>
      <c r="C204" s="59" t="s">
        <v>445</v>
      </c>
      <c r="D204" s="60">
        <v>-9.9</v>
      </c>
      <c r="E204" s="60">
        <v>-5.3</v>
      </c>
      <c r="F204" s="60">
        <v>-5.3</v>
      </c>
      <c r="G204" s="60">
        <v>-5.3</v>
      </c>
      <c r="H204" s="60">
        <v>0</v>
      </c>
      <c r="I204" s="60">
        <v>0</v>
      </c>
      <c r="J204" s="60">
        <v>0</v>
      </c>
      <c r="K204" s="60">
        <v>0</v>
      </c>
      <c r="L204" s="60">
        <v>0</v>
      </c>
      <c r="M204" s="60">
        <v>0</v>
      </c>
      <c r="N204" s="60">
        <v>0</v>
      </c>
      <c r="O204" s="60">
        <v>-25.8</v>
      </c>
      <c r="P204" s="60">
        <v>-25.8</v>
      </c>
      <c r="Q204" s="61"/>
      <c r="R204" s="61"/>
      <c r="S204" s="59" t="s">
        <v>261</v>
      </c>
    </row>
    <row r="205" spans="2:19" ht="15" customHeight="1" x14ac:dyDescent="0.25">
      <c r="B205" s="135" t="str">
        <f>HYPERLINK("https://www.pbo.gov.au/elections/2025-general-election/2025-election-commitments-costings/Supporting%20the%20first%20Hindu%20faith%20school%20in%20Australia", "ECR-2025-2089")</f>
        <v>ECR-2025-2089</v>
      </c>
      <c r="C205" s="59" t="s">
        <v>446</v>
      </c>
      <c r="D205" s="60">
        <v>-1</v>
      </c>
      <c r="E205" s="60">
        <v>-2.7</v>
      </c>
      <c r="F205" s="60">
        <v>-2.6</v>
      </c>
      <c r="G205" s="60">
        <v>-2.6</v>
      </c>
      <c r="H205" s="60">
        <v>0</v>
      </c>
      <c r="I205" s="60">
        <v>0</v>
      </c>
      <c r="J205" s="60">
        <v>0</v>
      </c>
      <c r="K205" s="60">
        <v>0</v>
      </c>
      <c r="L205" s="60">
        <v>0</v>
      </c>
      <c r="M205" s="60">
        <v>0</v>
      </c>
      <c r="N205" s="60">
        <v>0</v>
      </c>
      <c r="O205" s="60">
        <v>-8.9</v>
      </c>
      <c r="P205" s="60">
        <v>-8.9</v>
      </c>
      <c r="Q205" s="61"/>
      <c r="R205" s="61"/>
      <c r="S205" s="59" t="s">
        <v>346</v>
      </c>
    </row>
    <row r="206" spans="2:19" ht="15" customHeight="1" x14ac:dyDescent="0.25">
      <c r="B206" s="135" t="str">
        <f>HYPERLINK("https://www.pbo.gov.au/elections/2025-general-election/2025-election-commitments-costings/teach-maths-australia", "ECR-2025-2580")</f>
        <v>ECR-2025-2580</v>
      </c>
      <c r="C206" s="59" t="s">
        <v>184</v>
      </c>
      <c r="D206" s="60">
        <v>-0.4</v>
      </c>
      <c r="E206" s="60">
        <v>-1.3</v>
      </c>
      <c r="F206" s="60">
        <v>-9.8000000000000007</v>
      </c>
      <c r="G206" s="60">
        <v>-18.7</v>
      </c>
      <c r="H206" s="60">
        <v>-10</v>
      </c>
      <c r="I206" s="60">
        <v>0</v>
      </c>
      <c r="J206" s="60">
        <v>0</v>
      </c>
      <c r="K206" s="60">
        <v>0</v>
      </c>
      <c r="L206" s="60">
        <v>0</v>
      </c>
      <c r="M206" s="60">
        <v>0</v>
      </c>
      <c r="N206" s="60">
        <v>0</v>
      </c>
      <c r="O206" s="60">
        <v>-30.2</v>
      </c>
      <c r="P206" s="60">
        <v>-40.200000000000003</v>
      </c>
      <c r="Q206" s="61"/>
      <c r="R206" s="61"/>
      <c r="S206" s="59" t="s">
        <v>334</v>
      </c>
    </row>
    <row r="207" spans="2:19" ht="15" customHeight="1" x14ac:dyDescent="0.25">
      <c r="B207" s="59" t="s">
        <v>124</v>
      </c>
      <c r="C207" s="59" t="s">
        <v>410</v>
      </c>
      <c r="D207" s="60">
        <v>0</v>
      </c>
      <c r="E207" s="60">
        <v>0</v>
      </c>
      <c r="F207" s="60">
        <v>0</v>
      </c>
      <c r="G207" s="60">
        <v>0</v>
      </c>
      <c r="H207" s="60">
        <v>0</v>
      </c>
      <c r="I207" s="60">
        <v>0</v>
      </c>
      <c r="J207" s="60">
        <v>0</v>
      </c>
      <c r="K207" s="60">
        <v>0</v>
      </c>
      <c r="L207" s="60">
        <v>0</v>
      </c>
      <c r="M207" s="60">
        <v>0</v>
      </c>
      <c r="N207" s="60">
        <v>0</v>
      </c>
      <c r="O207" s="60">
        <v>0</v>
      </c>
      <c r="P207" s="60">
        <v>0</v>
      </c>
      <c r="Q207" s="61"/>
      <c r="R207" s="61"/>
      <c r="S207" s="59" t="s">
        <v>261</v>
      </c>
    </row>
    <row r="208" spans="2:19" ht="15" customHeight="1" x14ac:dyDescent="0.25">
      <c r="B208" s="135" t="str">
        <f>HYPERLINK("https://www.pbo.gov.au/elections/2025-general-election/2025-election-commitments-costings/veterans-and-families-hubs", "ECR-2025-2415")</f>
        <v>ECR-2025-2415</v>
      </c>
      <c r="C208" s="59" t="s">
        <v>174</v>
      </c>
      <c r="D208" s="60">
        <v>-32.299999999999997</v>
      </c>
      <c r="E208" s="60">
        <v>0</v>
      </c>
      <c r="F208" s="60">
        <v>0</v>
      </c>
      <c r="G208" s="60">
        <v>0</v>
      </c>
      <c r="H208" s="60">
        <v>0</v>
      </c>
      <c r="I208" s="60">
        <v>0</v>
      </c>
      <c r="J208" s="60">
        <v>0</v>
      </c>
      <c r="K208" s="60">
        <v>0</v>
      </c>
      <c r="L208" s="60">
        <v>0</v>
      </c>
      <c r="M208" s="60">
        <v>0</v>
      </c>
      <c r="N208" s="60">
        <v>0</v>
      </c>
      <c r="O208" s="60">
        <v>-32.299999999999997</v>
      </c>
      <c r="P208" s="60">
        <v>-32.299999999999997</v>
      </c>
      <c r="Q208" s="61"/>
      <c r="R208" s="61"/>
      <c r="S208" s="59" t="s">
        <v>257</v>
      </c>
    </row>
    <row r="209" spans="2:33" ht="15" customHeight="1" x14ac:dyDescent="0.25">
      <c r="B209" s="135" t="str">
        <f>HYPERLINK("https://www.pbo.gov.au/elections/2025-general-election/2025-election-commitments-costings/veterans-chaplaincy-program", "ECR-2025-2595")</f>
        <v>ECR-2025-2595</v>
      </c>
      <c r="C209" s="59" t="s">
        <v>185</v>
      </c>
      <c r="D209" s="60">
        <v>-1</v>
      </c>
      <c r="E209" s="60">
        <v>-1</v>
      </c>
      <c r="F209" s="60">
        <v>-1</v>
      </c>
      <c r="G209" s="60">
        <v>-1</v>
      </c>
      <c r="H209" s="60">
        <v>0</v>
      </c>
      <c r="I209" s="60">
        <v>0</v>
      </c>
      <c r="J209" s="60">
        <v>0</v>
      </c>
      <c r="K209" s="60">
        <v>0</v>
      </c>
      <c r="L209" s="60">
        <v>0</v>
      </c>
      <c r="M209" s="60">
        <v>0</v>
      </c>
      <c r="N209" s="60">
        <v>0</v>
      </c>
      <c r="O209" s="60">
        <v>-4</v>
      </c>
      <c r="P209" s="60">
        <v>-4</v>
      </c>
      <c r="Q209" s="61"/>
      <c r="R209" s="61"/>
      <c r="S209" s="59" t="s">
        <v>257</v>
      </c>
    </row>
    <row r="210" spans="2:33" ht="15" customHeight="1" x14ac:dyDescent="0.25">
      <c r="B210" s="135" t="str">
        <f>HYPERLINK("https://www.pbo.gov.au/elections/2025-general-election/2025-election-commitments-costings/veterans-guild-support", "ECR-2025-2813")</f>
        <v>ECR-2025-2813</v>
      </c>
      <c r="C210" s="59" t="s">
        <v>181</v>
      </c>
      <c r="D210" s="60">
        <v>-1.1000000000000001</v>
      </c>
      <c r="E210" s="60">
        <v>-1.4</v>
      </c>
      <c r="F210" s="60">
        <v>-1.2</v>
      </c>
      <c r="G210" s="60">
        <v>-1.3</v>
      </c>
      <c r="H210" s="60">
        <v>0</v>
      </c>
      <c r="I210" s="60">
        <v>0</v>
      </c>
      <c r="J210" s="60">
        <v>0</v>
      </c>
      <c r="K210" s="60">
        <v>0</v>
      </c>
      <c r="L210" s="60">
        <v>0</v>
      </c>
      <c r="M210" s="60">
        <v>0</v>
      </c>
      <c r="N210" s="60">
        <v>0</v>
      </c>
      <c r="O210" s="60">
        <v>-5</v>
      </c>
      <c r="P210" s="60">
        <v>-5</v>
      </c>
      <c r="Q210" s="61"/>
      <c r="R210" s="61"/>
      <c r="S210" s="59" t="s">
        <v>257</v>
      </c>
    </row>
    <row r="211" spans="2:33" ht="15" customHeight="1" x14ac:dyDescent="0.25">
      <c r="B211" s="62" t="s">
        <v>380</v>
      </c>
      <c r="C211" s="62"/>
      <c r="D211" s="63">
        <v>-700.6</v>
      </c>
      <c r="E211" s="63">
        <v>-332.1</v>
      </c>
      <c r="F211" s="63">
        <v>-97</v>
      </c>
      <c r="G211" s="63">
        <v>-200.9</v>
      </c>
      <c r="H211" s="63">
        <v>-104.6</v>
      </c>
      <c r="I211" s="63">
        <v>-87.5</v>
      </c>
      <c r="J211" s="63">
        <v>-83.6</v>
      </c>
      <c r="K211" s="63">
        <v>-73</v>
      </c>
      <c r="L211" s="63">
        <v>-73</v>
      </c>
      <c r="M211" s="63">
        <v>-68.900000000000006</v>
      </c>
      <c r="N211" s="63">
        <v>-70.099999999999994</v>
      </c>
      <c r="O211" s="63">
        <v>-1330.6</v>
      </c>
      <c r="P211" s="63">
        <v>-1891.3</v>
      </c>
      <c r="Q211" s="64" t="s">
        <v>9</v>
      </c>
      <c r="R211" s="64"/>
      <c r="S211" s="62" t="s">
        <v>10</v>
      </c>
      <c r="U211" s="53"/>
      <c r="V211" s="53"/>
      <c r="W211" s="53"/>
      <c r="X211" s="53"/>
      <c r="Y211" s="53"/>
      <c r="Z211" s="53"/>
      <c r="AA211" s="53"/>
      <c r="AB211" s="53"/>
      <c r="AC211" s="53"/>
      <c r="AD211" s="53"/>
      <c r="AE211" s="53"/>
      <c r="AF211" s="53"/>
      <c r="AG211" s="53"/>
    </row>
    <row r="212" spans="2:33" ht="15" customHeight="1" x14ac:dyDescent="0.25">
      <c r="B212" s="81" t="s">
        <v>98</v>
      </c>
      <c r="C212" s="3"/>
      <c r="D212" s="55" t="s">
        <v>10</v>
      </c>
      <c r="E212" s="55" t="s">
        <v>10</v>
      </c>
      <c r="F212" s="55" t="s">
        <v>10</v>
      </c>
      <c r="G212" s="55" t="s">
        <v>10</v>
      </c>
      <c r="H212" s="55" t="s">
        <v>10</v>
      </c>
      <c r="I212" s="55" t="s">
        <v>10</v>
      </c>
      <c r="J212" s="55" t="s">
        <v>10</v>
      </c>
      <c r="K212" s="55" t="s">
        <v>10</v>
      </c>
      <c r="L212" s="55" t="s">
        <v>10</v>
      </c>
      <c r="M212" s="55" t="s">
        <v>10</v>
      </c>
      <c r="N212" s="55" t="s">
        <v>10</v>
      </c>
      <c r="O212" s="55" t="s">
        <v>10</v>
      </c>
      <c r="P212" s="55" t="s">
        <v>10</v>
      </c>
      <c r="Q212" s="4"/>
      <c r="R212" s="4"/>
      <c r="S212" s="3" t="s">
        <v>10</v>
      </c>
      <c r="U212" s="53"/>
      <c r="V212" s="53"/>
      <c r="W212" s="53"/>
      <c r="X212" s="53"/>
      <c r="Y212" s="53"/>
      <c r="Z212" s="53"/>
      <c r="AA212" s="53"/>
      <c r="AB212" s="53"/>
      <c r="AC212" s="53"/>
      <c r="AD212" s="53"/>
      <c r="AE212" s="53"/>
      <c r="AF212" s="53"/>
      <c r="AG212" s="53"/>
    </row>
    <row r="213" spans="2:33" ht="15" customHeight="1" x14ac:dyDescent="0.25">
      <c r="B213" s="135" t="str">
        <f>HYPERLINK("https://www.pbo.gov.au/elections/2025-general-election/2025-election-commitments-costings/deliver-national-gas-plan-additional-components", "ECR-2025-2506")</f>
        <v>ECR-2025-2506</v>
      </c>
      <c r="C213" s="59" t="s">
        <v>237</v>
      </c>
      <c r="D213" s="60">
        <v>-4</v>
      </c>
      <c r="E213" s="60">
        <v>-4.0999999999999996</v>
      </c>
      <c r="F213" s="60">
        <v>-4.0999999999999996</v>
      </c>
      <c r="G213" s="60">
        <v>-4.2</v>
      </c>
      <c r="H213" s="60">
        <v>-4.2</v>
      </c>
      <c r="I213" s="60">
        <v>-4.3</v>
      </c>
      <c r="J213" s="60">
        <v>-4.3</v>
      </c>
      <c r="K213" s="60">
        <v>-4.4000000000000004</v>
      </c>
      <c r="L213" s="60">
        <v>-4.5</v>
      </c>
      <c r="M213" s="60">
        <v>-4.5</v>
      </c>
      <c r="N213" s="60">
        <v>-4.5999999999999996</v>
      </c>
      <c r="O213" s="60">
        <v>-16.399999999999999</v>
      </c>
      <c r="P213" s="60">
        <v>-47.2</v>
      </c>
      <c r="Q213" s="61"/>
      <c r="R213" s="61"/>
      <c r="S213" s="59" t="s">
        <v>374</v>
      </c>
      <c r="U213" s="53"/>
      <c r="V213" s="53"/>
      <c r="W213" s="53"/>
      <c r="X213" s="53"/>
      <c r="Y213" s="53"/>
      <c r="Z213" s="53"/>
      <c r="AA213" s="53"/>
      <c r="AB213" s="53"/>
      <c r="AC213" s="53"/>
      <c r="AD213" s="53"/>
      <c r="AE213" s="53"/>
      <c r="AF213" s="53"/>
      <c r="AG213" s="53"/>
    </row>
    <row r="214" spans="2:33" ht="15" customHeight="1" x14ac:dyDescent="0.25">
      <c r="B214" s="135" t="str">
        <f>HYPERLINK("https://www.pbo.gov.au/elections/2025-general-election/2025-election-commitments-costings/deliver-national-gas-plan-east-coast-gas-reservation", "ECR-2025-2487")</f>
        <v>ECR-2025-2487</v>
      </c>
      <c r="C214" s="59" t="s">
        <v>220</v>
      </c>
      <c r="D214" s="60" t="s">
        <v>11</v>
      </c>
      <c r="E214" s="60" t="s">
        <v>11</v>
      </c>
      <c r="F214" s="60" t="s">
        <v>11</v>
      </c>
      <c r="G214" s="60" t="s">
        <v>11</v>
      </c>
      <c r="H214" s="60" t="s">
        <v>11</v>
      </c>
      <c r="I214" s="60" t="s">
        <v>11</v>
      </c>
      <c r="J214" s="60" t="s">
        <v>11</v>
      </c>
      <c r="K214" s="60" t="s">
        <v>11</v>
      </c>
      <c r="L214" s="60" t="s">
        <v>11</v>
      </c>
      <c r="M214" s="60" t="s">
        <v>11</v>
      </c>
      <c r="N214" s="60" t="s">
        <v>11</v>
      </c>
      <c r="O214" s="60" t="s">
        <v>11</v>
      </c>
      <c r="P214" s="60" t="s">
        <v>11</v>
      </c>
      <c r="Q214" s="61"/>
      <c r="R214" s="61"/>
      <c r="S214" s="59" t="s">
        <v>374</v>
      </c>
      <c r="U214" s="53"/>
      <c r="V214" s="53"/>
      <c r="W214" s="53"/>
      <c r="X214" s="53"/>
      <c r="Y214" s="53"/>
      <c r="Z214" s="53"/>
      <c r="AA214" s="53"/>
      <c r="AB214" s="53"/>
      <c r="AC214" s="53"/>
      <c r="AD214" s="53"/>
      <c r="AE214" s="53"/>
      <c r="AF214" s="53"/>
      <c r="AG214" s="53"/>
    </row>
    <row r="215" spans="2:33" ht="15" customHeight="1" x14ac:dyDescent="0.25">
      <c r="B215" s="135" t="str">
        <f>HYPERLINK("https://www.pbo.gov.au/elections/2025-general-election/2025-election-commitments-costings/Deliver-national-gas-plan-halve-environmental-approval-timelines-and-reform-offshore-gas-regulations", "ECR-2025-2390")</f>
        <v>ECR-2025-2390</v>
      </c>
      <c r="C215" s="59" t="s">
        <v>236</v>
      </c>
      <c r="D215" s="60">
        <v>-2.5</v>
      </c>
      <c r="E215" s="60">
        <v>-5</v>
      </c>
      <c r="F215" s="60">
        <v>0</v>
      </c>
      <c r="G215" s="60">
        <v>0</v>
      </c>
      <c r="H215" s="60">
        <v>0</v>
      </c>
      <c r="I215" s="60">
        <v>0</v>
      </c>
      <c r="J215" s="60">
        <v>0</v>
      </c>
      <c r="K215" s="60">
        <v>0</v>
      </c>
      <c r="L215" s="60">
        <v>0</v>
      </c>
      <c r="M215" s="60">
        <v>0</v>
      </c>
      <c r="N215" s="60">
        <v>0</v>
      </c>
      <c r="O215" s="60">
        <v>-7.5</v>
      </c>
      <c r="P215" s="60">
        <v>-7.5</v>
      </c>
      <c r="Q215" s="61"/>
      <c r="R215" s="61"/>
      <c r="S215" s="59" t="s">
        <v>374</v>
      </c>
      <c r="U215" s="53"/>
      <c r="V215" s="53"/>
      <c r="W215" s="53"/>
      <c r="X215" s="53"/>
      <c r="Y215" s="53"/>
      <c r="Z215" s="53"/>
      <c r="AA215" s="53"/>
      <c r="AB215" s="53"/>
      <c r="AC215" s="53"/>
      <c r="AD215" s="53"/>
      <c r="AE215" s="53"/>
      <c r="AF215" s="53"/>
      <c r="AG215" s="53"/>
    </row>
    <row r="216" spans="2:33" ht="15" customHeight="1" x14ac:dyDescent="0.25">
      <c r="B216" s="135" t="str">
        <f>HYPERLINK("https://www.pbo.gov.au/elections/2025-general-election/2025-election-commitments-costings/Deliver-national-gas-plan-implement-consistent-reporting-requirements-across-east-coast-gas-market", "ECR-2025-2176")</f>
        <v>ECR-2025-2176</v>
      </c>
      <c r="C216" s="59" t="s">
        <v>249</v>
      </c>
      <c r="D216" s="60">
        <v>-1.9</v>
      </c>
      <c r="E216" s="60">
        <v>-1.9</v>
      </c>
      <c r="F216" s="60">
        <v>0</v>
      </c>
      <c r="G216" s="60">
        <v>0</v>
      </c>
      <c r="H216" s="60">
        <v>0</v>
      </c>
      <c r="I216" s="60">
        <v>0</v>
      </c>
      <c r="J216" s="60">
        <v>0</v>
      </c>
      <c r="K216" s="60">
        <v>0</v>
      </c>
      <c r="L216" s="60">
        <v>0</v>
      </c>
      <c r="M216" s="60">
        <v>0</v>
      </c>
      <c r="N216" s="60">
        <v>0</v>
      </c>
      <c r="O216" s="60">
        <v>-3.8</v>
      </c>
      <c r="P216" s="60">
        <v>-3.8</v>
      </c>
      <c r="Q216" s="61"/>
      <c r="R216" s="61"/>
      <c r="S216" s="59" t="s">
        <v>374</v>
      </c>
      <c r="U216" s="53"/>
      <c r="V216" s="53"/>
      <c r="W216" s="53"/>
      <c r="X216" s="53"/>
      <c r="Y216" s="53"/>
      <c r="Z216" s="53"/>
      <c r="AA216" s="53"/>
      <c r="AB216" s="53"/>
      <c r="AC216" s="53"/>
      <c r="AD216" s="53"/>
      <c r="AE216" s="53"/>
      <c r="AF216" s="53"/>
      <c r="AG216" s="53"/>
    </row>
    <row r="217" spans="2:33" ht="15" customHeight="1" x14ac:dyDescent="0.25">
      <c r="B217" s="135" t="str">
        <f>HYPERLINK("https://www.pbo.gov.au/elections/2025-general-election/2025-election-commitments-costings/Deliver%20a%20National%20Gas%20Plan%20%E2%80%93%20introduce%20a%20gas%20security%20incentive", "ECR-2025-2363")</f>
        <v>ECR-2025-2363</v>
      </c>
      <c r="C217" s="59" t="s">
        <v>250</v>
      </c>
      <c r="D217" s="60">
        <v>-4.4000000000000004</v>
      </c>
      <c r="E217" s="60">
        <v>-4.4000000000000004</v>
      </c>
      <c r="F217" s="60">
        <v>-0.4</v>
      </c>
      <c r="G217" s="60">
        <v>-0.4</v>
      </c>
      <c r="H217" s="60">
        <v>-0.4</v>
      </c>
      <c r="I217" s="60">
        <v>-0.4</v>
      </c>
      <c r="J217" s="60">
        <v>-0.4</v>
      </c>
      <c r="K217" s="60">
        <v>-0.4</v>
      </c>
      <c r="L217" s="60">
        <v>-0.4</v>
      </c>
      <c r="M217" s="60">
        <v>-0.4</v>
      </c>
      <c r="N217" s="60">
        <v>-0.4</v>
      </c>
      <c r="O217" s="60">
        <v>-9.6</v>
      </c>
      <c r="P217" s="60">
        <v>-12.4</v>
      </c>
      <c r="Q217" s="61"/>
      <c r="R217" s="61"/>
      <c r="S217" s="59" t="s">
        <v>374</v>
      </c>
      <c r="U217" s="53"/>
      <c r="V217" s="53"/>
      <c r="W217" s="53"/>
      <c r="X217" s="53"/>
      <c r="Y217" s="53"/>
      <c r="Z217" s="53"/>
      <c r="AA217" s="53"/>
      <c r="AB217" s="53"/>
      <c r="AC217" s="53"/>
      <c r="AD217" s="53"/>
      <c r="AE217" s="53"/>
      <c r="AF217" s="53"/>
      <c r="AG217" s="53"/>
    </row>
    <row r="218" spans="2:33" ht="15" customHeight="1" x14ac:dyDescent="0.25">
      <c r="B218" s="135" t="str">
        <f>HYPERLINK("https://www.pbo.gov.au/elections/2025-general-election/2025-election-commitments-costings/deliver-national-gas-plan-reinstate-annual-acreage-releases-offshore-oil-and-gas-exploration", "ECR-2025-2398")</f>
        <v>ECR-2025-2398</v>
      </c>
      <c r="C218" s="59" t="s">
        <v>221</v>
      </c>
      <c r="D218" s="60">
        <v>-3.9</v>
      </c>
      <c r="E218" s="60">
        <v>-2.8</v>
      </c>
      <c r="F218" s="60">
        <v>-2.8</v>
      </c>
      <c r="G218" s="60">
        <v>-2.8</v>
      </c>
      <c r="H218" s="60">
        <v>-2.8</v>
      </c>
      <c r="I218" s="60">
        <v>-2.9</v>
      </c>
      <c r="J218" s="60">
        <v>-3</v>
      </c>
      <c r="K218" s="60">
        <v>-3</v>
      </c>
      <c r="L218" s="60">
        <v>-3</v>
      </c>
      <c r="M218" s="60">
        <v>-3.1</v>
      </c>
      <c r="N218" s="60">
        <v>-3.1</v>
      </c>
      <c r="O218" s="60">
        <v>-12.3</v>
      </c>
      <c r="P218" s="60">
        <v>-33.200000000000003</v>
      </c>
      <c r="Q218" s="61"/>
      <c r="R218" s="61"/>
      <c r="S218" s="59" t="s">
        <v>374</v>
      </c>
      <c r="U218" s="53"/>
      <c r="V218" s="53"/>
      <c r="W218" s="53"/>
      <c r="X218" s="53"/>
      <c r="Y218" s="53"/>
      <c r="Z218" s="53"/>
      <c r="AA218" s="53"/>
      <c r="AB218" s="53"/>
      <c r="AC218" s="53"/>
      <c r="AD218" s="53"/>
      <c r="AE218" s="53"/>
      <c r="AF218" s="53"/>
      <c r="AG218" s="53"/>
    </row>
    <row r="219" spans="2:33" ht="15" customHeight="1" x14ac:dyDescent="0.25">
      <c r="B219" s="135" t="str">
        <f>HYPERLINK("https://www.pbo.gov.au/elections/2025-general-election/2025-election-commitments-costings/Deliver%20a%20National%20Gas%20Plan%20%E2%80%93%20strengthen%20the%20Australian%20Domestic%20Gas%20Security%20Mechanism", "ECR-2025-2804")</f>
        <v>ECR-2025-2804</v>
      </c>
      <c r="C219" s="59" t="s">
        <v>234</v>
      </c>
      <c r="D219" s="60">
        <v>-0.4</v>
      </c>
      <c r="E219" s="60">
        <v>-0.4</v>
      </c>
      <c r="F219" s="60">
        <v>-0.4</v>
      </c>
      <c r="G219" s="60">
        <v>-0.4</v>
      </c>
      <c r="H219" s="60">
        <v>-0.4</v>
      </c>
      <c r="I219" s="60">
        <v>-0.4</v>
      </c>
      <c r="J219" s="60">
        <v>-0.4</v>
      </c>
      <c r="K219" s="60">
        <v>-0.4</v>
      </c>
      <c r="L219" s="60">
        <v>-0.4</v>
      </c>
      <c r="M219" s="60">
        <v>-0.4</v>
      </c>
      <c r="N219" s="60">
        <v>-0.4</v>
      </c>
      <c r="O219" s="60">
        <v>-1.6</v>
      </c>
      <c r="P219" s="60">
        <v>-4.4000000000000004</v>
      </c>
      <c r="Q219" s="61"/>
      <c r="R219" s="61"/>
      <c r="S219" s="59" t="s">
        <v>374</v>
      </c>
      <c r="U219" s="53"/>
      <c r="V219" s="53"/>
      <c r="W219" s="53"/>
      <c r="X219" s="53"/>
      <c r="Y219" s="53"/>
      <c r="Z219" s="53"/>
      <c r="AA219" s="53"/>
      <c r="AB219" s="53"/>
      <c r="AC219" s="53"/>
      <c r="AD219" s="53"/>
      <c r="AE219" s="53"/>
      <c r="AF219" s="53"/>
      <c r="AG219" s="53"/>
    </row>
    <row r="220" spans="2:33" ht="15" customHeight="1" x14ac:dyDescent="0.25">
      <c r="B220" s="135" t="str">
        <f>HYPERLINK("https://www.pbo.gov.au/elections/2025-general-election/2025-election-commitments-costings/establish-supermarket-commissioner", "ECR-2025-2573")</f>
        <v>ECR-2025-2573</v>
      </c>
      <c r="C220" s="59" t="s">
        <v>164</v>
      </c>
      <c r="D220" s="60">
        <v>-1.4</v>
      </c>
      <c r="E220" s="60">
        <v>-1</v>
      </c>
      <c r="F220" s="60">
        <v>-1</v>
      </c>
      <c r="G220" s="60">
        <v>-1</v>
      </c>
      <c r="H220" s="60">
        <v>-1</v>
      </c>
      <c r="I220" s="60">
        <v>-1</v>
      </c>
      <c r="J220" s="60">
        <v>-1</v>
      </c>
      <c r="K220" s="60">
        <v>-1</v>
      </c>
      <c r="L220" s="60">
        <v>-1</v>
      </c>
      <c r="M220" s="60">
        <v>-1.1000000000000001</v>
      </c>
      <c r="N220" s="60">
        <v>-1.1000000000000001</v>
      </c>
      <c r="O220" s="60">
        <v>-4.4000000000000004</v>
      </c>
      <c r="P220" s="60">
        <v>-11.6</v>
      </c>
      <c r="Q220" s="61"/>
      <c r="R220" s="61"/>
      <c r="S220" s="59" t="s">
        <v>312</v>
      </c>
      <c r="U220" s="53"/>
      <c r="V220" s="53"/>
      <c r="W220" s="53"/>
      <c r="X220" s="53"/>
      <c r="Y220" s="53"/>
      <c r="Z220" s="53"/>
      <c r="AA220" s="53"/>
      <c r="AB220" s="53"/>
      <c r="AC220" s="53"/>
      <c r="AD220" s="53"/>
      <c r="AE220" s="53"/>
      <c r="AF220" s="53"/>
      <c r="AG220" s="53"/>
    </row>
    <row r="221" spans="2:33" ht="15" customHeight="1" x14ac:dyDescent="0.25">
      <c r="B221" s="59" t="s">
        <v>118</v>
      </c>
      <c r="C221" s="59" t="s">
        <v>411</v>
      </c>
      <c r="D221" s="60">
        <v>0</v>
      </c>
      <c r="E221" s="60">
        <v>0</v>
      </c>
      <c r="F221" s="60">
        <v>0</v>
      </c>
      <c r="G221" s="60">
        <v>0</v>
      </c>
      <c r="H221" s="60">
        <v>0</v>
      </c>
      <c r="I221" s="60">
        <v>0</v>
      </c>
      <c r="J221" s="60">
        <v>0</v>
      </c>
      <c r="K221" s="60">
        <v>0</v>
      </c>
      <c r="L221" s="60">
        <v>0</v>
      </c>
      <c r="M221" s="60">
        <v>0</v>
      </c>
      <c r="N221" s="60">
        <v>0</v>
      </c>
      <c r="O221" s="60">
        <v>0</v>
      </c>
      <c r="P221" s="60">
        <v>0</v>
      </c>
      <c r="Q221" s="61"/>
      <c r="R221" s="61"/>
      <c r="S221" s="59" t="s">
        <v>261</v>
      </c>
      <c r="U221" s="53"/>
      <c r="V221" s="53"/>
      <c r="W221" s="53"/>
      <c r="X221" s="53"/>
      <c r="Y221" s="53"/>
      <c r="Z221" s="53"/>
      <c r="AA221" s="53"/>
      <c r="AB221" s="53"/>
      <c r="AC221" s="53"/>
      <c r="AD221" s="53"/>
      <c r="AE221" s="53"/>
      <c r="AF221" s="53"/>
      <c r="AG221" s="53"/>
    </row>
    <row r="222" spans="2:33" ht="15" customHeight="1" x14ac:dyDescent="0.25">
      <c r="B222" s="135" t="str">
        <f>HYPERLINK("https://www.pbo.gov.au/elections/2025-general-election/2025-election-commitments-costings/Future%20Generations%20Fund%20and%20Regional%20Australia%20Future%20Fund", "ECR-2025-2651")</f>
        <v>ECR-2025-2651</v>
      </c>
      <c r="C222" s="59" t="s">
        <v>251</v>
      </c>
      <c r="D222" s="60">
        <v>0</v>
      </c>
      <c r="E222" s="60">
        <v>2</v>
      </c>
      <c r="F222" s="60">
        <v>-44</v>
      </c>
      <c r="G222" s="60">
        <v>-31</v>
      </c>
      <c r="H222" s="60">
        <v>-22</v>
      </c>
      <c r="I222" s="60">
        <v>-12</v>
      </c>
      <c r="J222" s="60">
        <v>0</v>
      </c>
      <c r="K222" s="60">
        <v>14</v>
      </c>
      <c r="L222" s="60">
        <v>28</v>
      </c>
      <c r="M222" s="60">
        <v>43</v>
      </c>
      <c r="N222" s="60">
        <v>61</v>
      </c>
      <c r="O222" s="60">
        <v>-73</v>
      </c>
      <c r="P222" s="60">
        <v>39</v>
      </c>
      <c r="Q222" s="61"/>
      <c r="R222" s="61"/>
      <c r="S222" s="59" t="s">
        <v>313</v>
      </c>
      <c r="U222" s="53"/>
      <c r="V222" s="53"/>
      <c r="W222" s="53"/>
      <c r="X222" s="53"/>
      <c r="Y222" s="53"/>
      <c r="Z222" s="53"/>
      <c r="AA222" s="53"/>
      <c r="AB222" s="53"/>
      <c r="AC222" s="53"/>
      <c r="AD222" s="53"/>
      <c r="AE222" s="53"/>
      <c r="AF222" s="53"/>
      <c r="AG222" s="53"/>
    </row>
    <row r="223" spans="2:33" ht="15" customHeight="1" x14ac:dyDescent="0.25">
      <c r="B223" s="135" t="str">
        <f>HYPERLINK("https://www.pbo.gov.au/elections/2025-general-election/2025-election-commitments-costings/Halt-further-water-buybacks-currently-included-budget", "ECR-2025-2333")</f>
        <v>ECR-2025-2333</v>
      </c>
      <c r="C223" s="59" t="s">
        <v>235</v>
      </c>
      <c r="D223" s="60" t="s">
        <v>375</v>
      </c>
      <c r="E223" s="60" t="s">
        <v>375</v>
      </c>
      <c r="F223" s="60" t="s">
        <v>375</v>
      </c>
      <c r="G223" s="60" t="s">
        <v>375</v>
      </c>
      <c r="H223" s="60" t="s">
        <v>375</v>
      </c>
      <c r="I223" s="60" t="s">
        <v>375</v>
      </c>
      <c r="J223" s="60" t="s">
        <v>375</v>
      </c>
      <c r="K223" s="60" t="s">
        <v>375</v>
      </c>
      <c r="L223" s="60" t="s">
        <v>375</v>
      </c>
      <c r="M223" s="60" t="s">
        <v>375</v>
      </c>
      <c r="N223" s="60" t="s">
        <v>375</v>
      </c>
      <c r="O223" s="60" t="s">
        <v>375</v>
      </c>
      <c r="P223" s="60" t="s">
        <v>375</v>
      </c>
      <c r="Q223" s="61"/>
      <c r="R223" s="61"/>
      <c r="S223" s="59" t="s">
        <v>317</v>
      </c>
      <c r="U223" s="53"/>
      <c r="V223" s="53"/>
      <c r="W223" s="53"/>
      <c r="X223" s="53"/>
      <c r="Y223" s="53"/>
      <c r="Z223" s="53"/>
      <c r="AA223" s="53"/>
      <c r="AB223" s="53"/>
      <c r="AC223" s="53"/>
      <c r="AD223" s="53"/>
      <c r="AE223" s="53"/>
      <c r="AF223" s="53"/>
      <c r="AG223" s="53"/>
    </row>
    <row r="224" spans="2:33" ht="15" customHeight="1" x14ac:dyDescent="0.25">
      <c r="B224" s="135" t="str">
        <f>HYPERLINK("https://www.pbo.gov.au/elections/2025-general-election/2025-election-commitments-costings/Increase-total-funding-available-through-Australian-Infrastructure-Financing-Facility-for-Pacific", "ECR-2025-2074")</f>
        <v>ECR-2025-2074</v>
      </c>
      <c r="C224" s="59" t="s">
        <v>361</v>
      </c>
      <c r="D224" s="60">
        <v>0</v>
      </c>
      <c r="E224" s="60">
        <v>0</v>
      </c>
      <c r="F224" s="60">
        <v>0</v>
      </c>
      <c r="G224" s="60">
        <v>0</v>
      </c>
      <c r="H224" s="60">
        <v>-193.3</v>
      </c>
      <c r="I224" s="60">
        <v>-181.9</v>
      </c>
      <c r="J224" s="60">
        <v>-171.7</v>
      </c>
      <c r="K224" s="60">
        <v>-161.4</v>
      </c>
      <c r="L224" s="60">
        <v>-151.1</v>
      </c>
      <c r="M224" s="60">
        <v>-140.6</v>
      </c>
      <c r="N224" s="60">
        <v>-130.4</v>
      </c>
      <c r="O224" s="60" t="s">
        <v>463</v>
      </c>
      <c r="P224" s="60">
        <v>-1130.4000000000001</v>
      </c>
      <c r="Q224" s="61"/>
      <c r="R224" s="61"/>
      <c r="S224" s="59" t="s">
        <v>367</v>
      </c>
      <c r="U224" s="53"/>
      <c r="V224" s="53"/>
      <c r="W224" s="53"/>
      <c r="X224" s="53"/>
      <c r="Y224" s="53"/>
      <c r="Z224" s="53"/>
      <c r="AA224" s="53"/>
      <c r="AB224" s="53"/>
      <c r="AC224" s="53"/>
      <c r="AD224" s="53"/>
      <c r="AE224" s="53"/>
      <c r="AF224" s="53"/>
      <c r="AG224" s="53"/>
    </row>
    <row r="225" spans="2:33" ht="15" customHeight="1" x14ac:dyDescent="0.25">
      <c r="B225" s="135" t="str">
        <f>HYPERLINK("https://www.pbo.gov.au/elections/2025-general-election/2025-election-commitments-costings/Introduce-digital-alternative-cash-no-surcharge", "ECR-2025-2856")</f>
        <v>ECR-2025-2856</v>
      </c>
      <c r="C225" s="59" t="s">
        <v>204</v>
      </c>
      <c r="D225" s="60" t="s">
        <v>11</v>
      </c>
      <c r="E225" s="60" t="s">
        <v>11</v>
      </c>
      <c r="F225" s="60" t="s">
        <v>11</v>
      </c>
      <c r="G225" s="60" t="s">
        <v>11</v>
      </c>
      <c r="H225" s="60" t="s">
        <v>11</v>
      </c>
      <c r="I225" s="60" t="s">
        <v>11</v>
      </c>
      <c r="J225" s="60" t="s">
        <v>11</v>
      </c>
      <c r="K225" s="60" t="s">
        <v>11</v>
      </c>
      <c r="L225" s="60" t="s">
        <v>11</v>
      </c>
      <c r="M225" s="60" t="s">
        <v>11</v>
      </c>
      <c r="N225" s="60" t="s">
        <v>11</v>
      </c>
      <c r="O225" s="60" t="s">
        <v>11</v>
      </c>
      <c r="P225" s="60" t="s">
        <v>11</v>
      </c>
      <c r="Q225" s="61"/>
      <c r="R225" s="61"/>
      <c r="S225" s="59" t="s">
        <v>314</v>
      </c>
      <c r="U225" s="53"/>
      <c r="V225" s="53"/>
      <c r="W225" s="53"/>
      <c r="X225" s="53"/>
      <c r="Y225" s="53"/>
      <c r="Z225" s="53"/>
      <c r="AA225" s="53"/>
      <c r="AB225" s="53"/>
      <c r="AC225" s="53"/>
      <c r="AD225" s="53"/>
      <c r="AE225" s="53"/>
      <c r="AF225" s="53"/>
      <c r="AG225" s="53"/>
    </row>
    <row r="226" spans="2:33" ht="15" customHeight="1" x14ac:dyDescent="0.25">
      <c r="B226" s="135" t="str">
        <f>HYPERLINK("https://www.pbo.gov.au/elections/2025-general-election/2025-election-commitments-costings/Maintain%20Australian%20Border%20Force%20presence%20at%20Hobart%20Airport", "ECR-2025-2200")</f>
        <v>ECR-2025-2200</v>
      </c>
      <c r="C226" s="59" t="s">
        <v>205</v>
      </c>
      <c r="D226" s="60">
        <v>0</v>
      </c>
      <c r="E226" s="60">
        <v>-6.9</v>
      </c>
      <c r="F226" s="60">
        <v>-7</v>
      </c>
      <c r="G226" s="60">
        <v>-7.2</v>
      </c>
      <c r="H226" s="60">
        <v>-3.7</v>
      </c>
      <c r="I226" s="60">
        <v>0</v>
      </c>
      <c r="J226" s="60">
        <v>0</v>
      </c>
      <c r="K226" s="60">
        <v>0</v>
      </c>
      <c r="L226" s="60">
        <v>0</v>
      </c>
      <c r="M226" s="60">
        <v>0</v>
      </c>
      <c r="N226" s="60">
        <v>0</v>
      </c>
      <c r="O226" s="60">
        <v>-21.1</v>
      </c>
      <c r="P226" s="60">
        <v>-24.8</v>
      </c>
      <c r="Q226" s="61"/>
      <c r="R226" s="61"/>
      <c r="S226" s="59" t="s">
        <v>315</v>
      </c>
      <c r="U226" s="53"/>
      <c r="V226" s="53"/>
      <c r="W226" s="53"/>
      <c r="X226" s="53"/>
      <c r="Y226" s="53"/>
      <c r="Z226" s="53"/>
      <c r="AA226" s="53"/>
      <c r="AB226" s="53"/>
      <c r="AC226" s="53"/>
      <c r="AD226" s="53"/>
      <c r="AE226" s="53"/>
      <c r="AF226" s="53"/>
      <c r="AG226" s="53"/>
    </row>
    <row r="227" spans="2:33" ht="15" customHeight="1" x14ac:dyDescent="0.25">
      <c r="B227" s="135" t="str">
        <f>HYPERLINK("https://www.pbo.gov.au/elections/2025-general-election/2025-election-commitments-costings/reinstate-50-pass-mark-required-hecs-help-loans", "ECR-2025-2764")</f>
        <v>ECR-2025-2764</v>
      </c>
      <c r="C227" s="59" t="s">
        <v>222</v>
      </c>
      <c r="D227" s="60">
        <v>21.8</v>
      </c>
      <c r="E227" s="60">
        <v>45.3</v>
      </c>
      <c r="F227" s="60">
        <v>48.6</v>
      </c>
      <c r="G227" s="60">
        <v>51.6</v>
      </c>
      <c r="H227" s="60">
        <v>54.7</v>
      </c>
      <c r="I227" s="60">
        <v>57.6</v>
      </c>
      <c r="J227" s="60">
        <v>60.3</v>
      </c>
      <c r="K227" s="60">
        <v>63.5</v>
      </c>
      <c r="L227" s="60">
        <v>66.400000000000006</v>
      </c>
      <c r="M227" s="60">
        <v>69.3</v>
      </c>
      <c r="N227" s="60">
        <v>72.7</v>
      </c>
      <c r="O227" s="60">
        <v>167.3</v>
      </c>
      <c r="P227" s="60">
        <v>611.79999999999995</v>
      </c>
      <c r="Q227" s="61"/>
      <c r="R227" s="61"/>
      <c r="S227" s="59" t="s">
        <v>292</v>
      </c>
      <c r="U227" s="53"/>
      <c r="V227" s="53"/>
      <c r="W227" s="53"/>
      <c r="X227" s="53"/>
      <c r="Y227" s="53"/>
      <c r="Z227" s="53"/>
      <c r="AA227" s="53"/>
      <c r="AB227" s="53"/>
      <c r="AC227" s="53"/>
      <c r="AD227" s="53"/>
      <c r="AE227" s="53"/>
      <c r="AF227" s="53"/>
      <c r="AG227" s="53"/>
    </row>
    <row r="228" spans="2:33" ht="15" customHeight="1" x14ac:dyDescent="0.25">
      <c r="B228" s="135" t="str">
        <f>HYPERLINK("https://www.pbo.gov.au/elections/2025-general-election/2025-election-commitments-costings/Reinstate-8020-federal-funding-model-nationally-significant-road-projects-regional-and-remote-australia", "ECR-2025-2612")</f>
        <v>ECR-2025-2612</v>
      </c>
      <c r="C228" s="59" t="s">
        <v>238</v>
      </c>
      <c r="D228" s="60" t="s">
        <v>11</v>
      </c>
      <c r="E228" s="60" t="s">
        <v>11</v>
      </c>
      <c r="F228" s="60" t="s">
        <v>11</v>
      </c>
      <c r="G228" s="60" t="s">
        <v>11</v>
      </c>
      <c r="H228" s="60" t="s">
        <v>11</v>
      </c>
      <c r="I228" s="60" t="s">
        <v>11</v>
      </c>
      <c r="J228" s="60" t="s">
        <v>11</v>
      </c>
      <c r="K228" s="60" t="s">
        <v>11</v>
      </c>
      <c r="L228" s="60" t="s">
        <v>11</v>
      </c>
      <c r="M228" s="60" t="s">
        <v>11</v>
      </c>
      <c r="N228" s="60" t="s">
        <v>11</v>
      </c>
      <c r="O228" s="60" t="s">
        <v>11</v>
      </c>
      <c r="P228" s="60" t="s">
        <v>11</v>
      </c>
      <c r="Q228" s="61"/>
      <c r="R228" s="61"/>
      <c r="S228" s="59" t="s">
        <v>316</v>
      </c>
    </row>
    <row r="229" spans="2:33" ht="15" customHeight="1" x14ac:dyDescent="0.25">
      <c r="B229" s="62" t="s">
        <v>381</v>
      </c>
      <c r="C229" s="62"/>
      <c r="D229" s="63">
        <v>3.3</v>
      </c>
      <c r="E229" s="63">
        <v>20.8</v>
      </c>
      <c r="F229" s="63">
        <v>-11.1</v>
      </c>
      <c r="G229" s="63">
        <v>4.5999999999999996</v>
      </c>
      <c r="H229" s="63">
        <v>-173.1</v>
      </c>
      <c r="I229" s="63">
        <v>-145.30000000000001</v>
      </c>
      <c r="J229" s="63">
        <v>-120.5</v>
      </c>
      <c r="K229" s="63">
        <v>-93.1</v>
      </c>
      <c r="L229" s="63">
        <v>-66</v>
      </c>
      <c r="M229" s="63">
        <v>-37.799999999999997</v>
      </c>
      <c r="N229" s="63">
        <v>-6.3</v>
      </c>
      <c r="O229" s="63">
        <v>17.600000000000001</v>
      </c>
      <c r="P229" s="63">
        <v>-624.5</v>
      </c>
      <c r="Q229" s="64" t="s">
        <v>9</v>
      </c>
      <c r="R229" s="64"/>
      <c r="S229" s="62" t="s">
        <v>10</v>
      </c>
    </row>
    <row r="230" spans="2:33" ht="15" customHeight="1" x14ac:dyDescent="0.25">
      <c r="B230" s="3" t="s">
        <v>13</v>
      </c>
      <c r="C230" s="3"/>
      <c r="D230" s="55">
        <v>-105.5</v>
      </c>
      <c r="E230" s="55">
        <v>-318.60000000000002</v>
      </c>
      <c r="F230" s="55">
        <v>-373.9</v>
      </c>
      <c r="G230" s="55">
        <v>-106.4</v>
      </c>
      <c r="H230" s="55">
        <v>331.9</v>
      </c>
      <c r="I230" s="55">
        <v>784.6</v>
      </c>
      <c r="J230" s="55">
        <v>1075.4000000000001</v>
      </c>
      <c r="K230" s="55">
        <v>1180.5</v>
      </c>
      <c r="L230" s="55">
        <v>1074.4000000000001</v>
      </c>
      <c r="M230" s="55">
        <v>705.8</v>
      </c>
      <c r="N230" s="55">
        <v>113.9</v>
      </c>
      <c r="O230" s="55">
        <v>-904.4</v>
      </c>
      <c r="P230" s="55">
        <v>4362.1000000000004</v>
      </c>
      <c r="Q230" s="5" t="s">
        <v>14</v>
      </c>
      <c r="R230" s="4"/>
      <c r="S230" s="3"/>
    </row>
    <row r="231" spans="2:33" ht="15" customHeight="1" x14ac:dyDescent="0.25">
      <c r="B231" s="6" t="s">
        <v>616</v>
      </c>
      <c r="C231" s="6"/>
      <c r="D231" s="56">
        <v>-1728.1</v>
      </c>
      <c r="E231" s="56">
        <v>-560.4</v>
      </c>
      <c r="F231" s="56">
        <v>12169.3</v>
      </c>
      <c r="G231" s="56">
        <v>14337.2</v>
      </c>
      <c r="H231" s="56">
        <v>16671.400000000001</v>
      </c>
      <c r="I231" s="56">
        <v>6662.5</v>
      </c>
      <c r="J231" s="56">
        <v>2032.4</v>
      </c>
      <c r="K231" s="56">
        <v>-3713.2</v>
      </c>
      <c r="L231" s="56">
        <v>-10088.9</v>
      </c>
      <c r="M231" s="56">
        <v>-19182</v>
      </c>
      <c r="N231" s="56">
        <v>-23022.5</v>
      </c>
      <c r="O231" s="56">
        <v>24915.7</v>
      </c>
      <c r="P231" s="56">
        <v>-5724.5</v>
      </c>
      <c r="Q231" s="7" t="s">
        <v>15</v>
      </c>
      <c r="R231" s="7" t="s">
        <v>16</v>
      </c>
      <c r="S231" s="6"/>
    </row>
    <row r="232" spans="2:33" ht="15" customHeight="1" x14ac:dyDescent="0.25">
      <c r="B232" s="58" t="s">
        <v>17</v>
      </c>
      <c r="C232" s="3"/>
      <c r="D232" s="55"/>
      <c r="E232" s="55"/>
      <c r="F232" s="55"/>
      <c r="G232" s="55"/>
      <c r="H232" s="55"/>
      <c r="I232" s="55"/>
      <c r="J232" s="55"/>
      <c r="K232" s="55"/>
      <c r="L232" s="55"/>
      <c r="M232" s="55"/>
      <c r="N232" s="55"/>
      <c r="O232" s="55"/>
      <c r="P232" s="55"/>
      <c r="Q232" s="4"/>
      <c r="R232" s="4"/>
      <c r="S232" s="3"/>
    </row>
    <row r="233" spans="2:33" ht="15" customHeight="1" x14ac:dyDescent="0.25">
      <c r="B233" s="58" t="s">
        <v>18</v>
      </c>
      <c r="C233" s="3"/>
      <c r="D233" s="55">
        <v>963.1</v>
      </c>
      <c r="E233" s="55">
        <v>1267.7</v>
      </c>
      <c r="F233" s="55">
        <v>1431.4</v>
      </c>
      <c r="G233" s="55">
        <v>1680.4</v>
      </c>
      <c r="H233" s="55">
        <v>1893.8</v>
      </c>
      <c r="I233" s="55">
        <v>1997.7</v>
      </c>
      <c r="J233" s="55">
        <v>1977.8</v>
      </c>
      <c r="K233" s="55">
        <v>1888.4</v>
      </c>
      <c r="L233" s="55">
        <v>1763.9</v>
      </c>
      <c r="M233" s="55">
        <v>1573.5</v>
      </c>
      <c r="N233" s="55">
        <v>1312.3</v>
      </c>
      <c r="O233" s="55">
        <v>5354.2</v>
      </c>
      <c r="P233" s="55">
        <v>17761.599999999999</v>
      </c>
      <c r="Q233" s="4" t="s">
        <v>19</v>
      </c>
      <c r="R233" s="4"/>
      <c r="S233" s="3"/>
    </row>
    <row r="234" spans="2:33" ht="15" customHeight="1" x14ac:dyDescent="0.25">
      <c r="B234" s="135" t="s">
        <v>382</v>
      </c>
      <c r="C234" s="59" t="s">
        <v>389</v>
      </c>
      <c r="D234" s="60" t="s">
        <v>12</v>
      </c>
      <c r="E234" s="60">
        <v>-10</v>
      </c>
      <c r="F234" s="60">
        <v>-30</v>
      </c>
      <c r="G234" s="60">
        <v>-60</v>
      </c>
      <c r="H234" s="60">
        <v>-130</v>
      </c>
      <c r="I234" s="60">
        <v>-250</v>
      </c>
      <c r="J234" s="60">
        <v>-440</v>
      </c>
      <c r="K234" s="60">
        <v>-690</v>
      </c>
      <c r="L234" s="60">
        <v>-980</v>
      </c>
      <c r="M234" s="60">
        <v>-1340</v>
      </c>
      <c r="N234" s="60">
        <v>-1810</v>
      </c>
      <c r="O234" s="60">
        <v>-100</v>
      </c>
      <c r="P234" s="60">
        <v>-5740</v>
      </c>
      <c r="Q234" s="61"/>
      <c r="R234" s="61"/>
      <c r="S234" s="59" t="s">
        <v>261</v>
      </c>
    </row>
    <row r="235" spans="2:33" ht="15" customHeight="1" x14ac:dyDescent="0.25">
      <c r="B235" s="136" t="str">
        <f>HYPERLINK("https://www.pbo.gov.au/elections/2025-general-election/2025-election-commitments-costings/cease-undersubscribed-covid-era-securitisation-measures", "ECR-2025-2065")</f>
        <v>ECR-2025-2065</v>
      </c>
      <c r="C235" s="59" t="s">
        <v>194</v>
      </c>
      <c r="D235" s="60">
        <v>511</v>
      </c>
      <c r="E235" s="60">
        <v>684</v>
      </c>
      <c r="F235" s="60">
        <v>688</v>
      </c>
      <c r="G235" s="60">
        <v>694</v>
      </c>
      <c r="H235" s="60">
        <v>699</v>
      </c>
      <c r="I235" s="60">
        <v>705</v>
      </c>
      <c r="J235" s="60">
        <v>711</v>
      </c>
      <c r="K235" s="60">
        <v>717</v>
      </c>
      <c r="L235" s="60">
        <v>724</v>
      </c>
      <c r="M235" s="60">
        <v>731</v>
      </c>
      <c r="N235" s="60">
        <v>755</v>
      </c>
      <c r="O235" s="60">
        <v>2577</v>
      </c>
      <c r="P235" s="60">
        <v>7619</v>
      </c>
      <c r="Q235" s="61"/>
      <c r="R235" s="61"/>
      <c r="S235" s="59" t="s">
        <v>261</v>
      </c>
    </row>
    <row r="236" spans="2:33" ht="15" customHeight="1" x14ac:dyDescent="0.25">
      <c r="B236" s="136" t="str">
        <f>HYPERLINK("https://www.pbo.gov.au/elections/2025-general-election/2025-election-commitments-costings/Increase-total-funding-available-through-Australian-Infrastructure-Financing-Facility-for-Pacific", "ECR-2025-2074")</f>
        <v>ECR-2025-2074</v>
      </c>
      <c r="C236" s="59" t="s">
        <v>361</v>
      </c>
      <c r="D236" s="60">
        <v>0</v>
      </c>
      <c r="E236" s="60">
        <v>0</v>
      </c>
      <c r="F236" s="60">
        <v>0</v>
      </c>
      <c r="G236" s="60">
        <v>0</v>
      </c>
      <c r="H236" s="60">
        <v>-3.2</v>
      </c>
      <c r="I236" s="60">
        <v>-10.4</v>
      </c>
      <c r="J236" s="60">
        <v>-18.399999999999999</v>
      </c>
      <c r="K236" s="60">
        <v>-25.9</v>
      </c>
      <c r="L236" s="60">
        <v>-33</v>
      </c>
      <c r="M236" s="60">
        <v>-39.6</v>
      </c>
      <c r="N236" s="60">
        <v>-45.9</v>
      </c>
      <c r="O236" s="60">
        <v>0</v>
      </c>
      <c r="P236" s="60">
        <v>-176.4</v>
      </c>
      <c r="Q236" s="61"/>
      <c r="R236" s="61"/>
      <c r="S236" s="59" t="s">
        <v>367</v>
      </c>
    </row>
    <row r="237" spans="2:33" ht="15" customHeight="1" x14ac:dyDescent="0.25">
      <c r="B237" s="136" t="str">
        <f>HYPERLINK("https://www.pbo.gov.au/elections/2025-general-election/2025-election-commitments-costings/Rewiring%20the%20Nation%20Fund%20%E2%80%93%20unwind%20and%20redirect", "ECR-2025-2173")</f>
        <v>ECR-2025-2173</v>
      </c>
      <c r="C237" s="59" t="s">
        <v>172</v>
      </c>
      <c r="D237" s="60">
        <v>5.5</v>
      </c>
      <c r="E237" s="60">
        <v>13.3</v>
      </c>
      <c r="F237" s="60">
        <v>16.100000000000001</v>
      </c>
      <c r="G237" s="60">
        <v>17.100000000000001</v>
      </c>
      <c r="H237" s="60">
        <v>17.899999999999999</v>
      </c>
      <c r="I237" s="60">
        <v>18.7</v>
      </c>
      <c r="J237" s="60">
        <v>19.600000000000001</v>
      </c>
      <c r="K237" s="60">
        <v>20.399999999999999</v>
      </c>
      <c r="L237" s="60">
        <v>21.4</v>
      </c>
      <c r="M237" s="60">
        <v>22.3</v>
      </c>
      <c r="N237" s="60">
        <v>23.5</v>
      </c>
      <c r="O237" s="60">
        <v>52</v>
      </c>
      <c r="P237" s="60">
        <v>195.8</v>
      </c>
      <c r="Q237" s="61"/>
      <c r="R237" s="61"/>
      <c r="S237" s="59" t="s">
        <v>261</v>
      </c>
    </row>
    <row r="238" spans="2:33" ht="15" customHeight="1" x14ac:dyDescent="0.25">
      <c r="B238" s="136" t="str">
        <f>HYPERLINK("https://www.pbo.gov.au/elections/2025-general-election/2025-election-commitments-costings/housing-australia-future-fund-unwind", "ECR-2025-2184")</f>
        <v>ECR-2025-2184</v>
      </c>
      <c r="C238" s="59" t="s">
        <v>168</v>
      </c>
      <c r="D238" s="60">
        <v>358</v>
      </c>
      <c r="E238" s="60">
        <v>497</v>
      </c>
      <c r="F238" s="60">
        <v>526</v>
      </c>
      <c r="G238" s="60">
        <v>556</v>
      </c>
      <c r="H238" s="60">
        <v>587</v>
      </c>
      <c r="I238" s="60">
        <v>621</v>
      </c>
      <c r="J238" s="60">
        <v>657</v>
      </c>
      <c r="K238" s="60">
        <v>695</v>
      </c>
      <c r="L238" s="60">
        <v>736</v>
      </c>
      <c r="M238" s="60">
        <v>780</v>
      </c>
      <c r="N238" s="60">
        <v>839</v>
      </c>
      <c r="O238" s="60">
        <v>1937</v>
      </c>
      <c r="P238" s="60">
        <v>6852</v>
      </c>
      <c r="Q238" s="61"/>
      <c r="R238" s="61"/>
      <c r="S238" s="59" t="s">
        <v>322</v>
      </c>
    </row>
    <row r="239" spans="2:33" ht="15" customHeight="1" x14ac:dyDescent="0.25">
      <c r="B239" s="136" t="str">
        <f>HYPERLINK("https://www.pbo.gov.au/elections/2025-general-election/2025-election-commitments-costings/help-buy-scheme-reverse", "ECR-2025-2213")</f>
        <v>ECR-2025-2213</v>
      </c>
      <c r="C239" s="59" t="s">
        <v>242</v>
      </c>
      <c r="D239" s="60">
        <v>22</v>
      </c>
      <c r="E239" s="60">
        <v>78</v>
      </c>
      <c r="F239" s="60">
        <v>151</v>
      </c>
      <c r="G239" s="60">
        <v>227</v>
      </c>
      <c r="H239" s="60">
        <v>286</v>
      </c>
      <c r="I239" s="60">
        <v>313</v>
      </c>
      <c r="J239" s="60">
        <v>329</v>
      </c>
      <c r="K239" s="60">
        <v>344</v>
      </c>
      <c r="L239" s="60">
        <v>356</v>
      </c>
      <c r="M239" s="60">
        <v>364</v>
      </c>
      <c r="N239" s="60">
        <v>372</v>
      </c>
      <c r="O239" s="60">
        <v>478</v>
      </c>
      <c r="P239" s="60">
        <v>2842</v>
      </c>
      <c r="Q239" s="61"/>
      <c r="R239" s="61"/>
      <c r="S239" s="59" t="s">
        <v>261</v>
      </c>
    </row>
    <row r="240" spans="2:33" ht="15" customHeight="1" x14ac:dyDescent="0.25">
      <c r="B240" s="136" t="str">
        <f>HYPERLINK("https://www.pbo.gov.au/elections/2025-general-election/2025-election-commitments-costings/student-help-changes-not-proceeding", "ECR-2025-2230")</f>
        <v>ECR-2025-2230</v>
      </c>
      <c r="C240" s="59" t="s">
        <v>162</v>
      </c>
      <c r="D240" s="60">
        <v>45</v>
      </c>
      <c r="E240" s="60">
        <v>94</v>
      </c>
      <c r="F240" s="60">
        <v>152</v>
      </c>
      <c r="G240" s="60">
        <v>217</v>
      </c>
      <c r="H240" s="60">
        <v>290</v>
      </c>
      <c r="I240" s="60">
        <v>372</v>
      </c>
      <c r="J240" s="60">
        <v>461</v>
      </c>
      <c r="K240" s="60">
        <v>555</v>
      </c>
      <c r="L240" s="60">
        <v>652</v>
      </c>
      <c r="M240" s="60">
        <v>754</v>
      </c>
      <c r="N240" s="60">
        <v>860</v>
      </c>
      <c r="O240" s="60">
        <v>519.6</v>
      </c>
      <c r="P240" s="60">
        <v>4463.6000000000004</v>
      </c>
      <c r="Q240" s="61"/>
      <c r="R240" s="61"/>
      <c r="S240" s="59" t="s">
        <v>308</v>
      </c>
    </row>
    <row r="241" spans="2:19" ht="15" customHeight="1" x14ac:dyDescent="0.25">
      <c r="B241" s="136" t="str">
        <f>HYPERLINK("https://www.pbo.gov.au/elections/2025-general-election/2025-election-commitments-costings/national-reconstruction-fund-and-national-reconstruction-fund-corporation-unwind-and-close", "ECR-2025-2247")</f>
        <v>ECR-2025-2247</v>
      </c>
      <c r="C241" s="59" t="s">
        <v>247</v>
      </c>
      <c r="D241" s="60">
        <v>32</v>
      </c>
      <c r="E241" s="60">
        <v>115</v>
      </c>
      <c r="F241" s="60">
        <v>229</v>
      </c>
      <c r="G241" s="60">
        <v>371</v>
      </c>
      <c r="H241" s="60">
        <v>518</v>
      </c>
      <c r="I241" s="60">
        <v>605</v>
      </c>
      <c r="J241" s="60">
        <v>625</v>
      </c>
      <c r="K241" s="60">
        <v>628</v>
      </c>
      <c r="L241" s="60">
        <v>632</v>
      </c>
      <c r="M241" s="60">
        <v>637</v>
      </c>
      <c r="N241" s="60">
        <v>642</v>
      </c>
      <c r="O241" s="60">
        <v>747</v>
      </c>
      <c r="P241" s="60">
        <v>5034</v>
      </c>
      <c r="Q241" s="61"/>
      <c r="R241" s="61"/>
      <c r="S241" s="59" t="s">
        <v>261</v>
      </c>
    </row>
    <row r="242" spans="2:19" ht="15" customHeight="1" x14ac:dyDescent="0.25">
      <c r="B242" s="136" t="str">
        <f>HYPERLINK("https://www.pbo.gov.au/elections/2025-general-election/2025-election-commitments-costings/Deliver%20a%20National%20Gas%20Plan%20%E2%80%93%20%241%20billion%20Critical%20Gas%20Infrastructure%20Fund", "ECR-2025-2455")</f>
        <v>ECR-2025-2455</v>
      </c>
      <c r="C242" s="59" t="s">
        <v>243</v>
      </c>
      <c r="D242" s="60">
        <v>-1.6</v>
      </c>
      <c r="E242" s="60">
        <v>-5.4</v>
      </c>
      <c r="F242" s="60">
        <v>-9.6</v>
      </c>
      <c r="G242" s="60">
        <v>-13.7</v>
      </c>
      <c r="H242" s="60">
        <v>-17.8</v>
      </c>
      <c r="I242" s="60">
        <v>-20.100000000000001</v>
      </c>
      <c r="J242" s="60">
        <v>-20.2</v>
      </c>
      <c r="K242" s="60">
        <v>-19.8</v>
      </c>
      <c r="L242" s="60">
        <v>-19.2</v>
      </c>
      <c r="M242" s="60">
        <v>-18.399999999999999</v>
      </c>
      <c r="N242" s="60">
        <v>-17.7</v>
      </c>
      <c r="O242" s="60">
        <v>-30.3</v>
      </c>
      <c r="P242" s="60">
        <v>-163.5</v>
      </c>
      <c r="Q242" s="61"/>
      <c r="R242" s="61"/>
      <c r="S242" s="59" t="s">
        <v>296</v>
      </c>
    </row>
    <row r="243" spans="2:19" ht="15" customHeight="1" x14ac:dyDescent="0.25">
      <c r="B243" s="136" t="str">
        <f>HYPERLINK("https://www.pbo.gov.au/elections/2025-general-election/2025-election-commitments-costings/Modify%20Commonwealth%20Prac%20Payments", "ECR-2025-2599")</f>
        <v>ECR-2025-2599</v>
      </c>
      <c r="C243" s="59" t="s">
        <v>364</v>
      </c>
      <c r="D243" s="60" t="s">
        <v>12</v>
      </c>
      <c r="E243" s="60">
        <v>0.1</v>
      </c>
      <c r="F243" s="60">
        <v>0.2</v>
      </c>
      <c r="G243" s="60">
        <v>0.3</v>
      </c>
      <c r="H243" s="60">
        <v>0.4</v>
      </c>
      <c r="I243" s="60">
        <v>0.5</v>
      </c>
      <c r="J243" s="60">
        <v>0.7</v>
      </c>
      <c r="K243" s="60">
        <v>0.8</v>
      </c>
      <c r="L243" s="60">
        <v>1</v>
      </c>
      <c r="M243" s="60">
        <v>1.1000000000000001</v>
      </c>
      <c r="N243" s="60">
        <v>1.3</v>
      </c>
      <c r="O243" s="60">
        <v>0.6</v>
      </c>
      <c r="P243" s="60">
        <v>6.4</v>
      </c>
      <c r="Q243" s="61"/>
      <c r="R243" s="61"/>
      <c r="S243" s="59" t="s">
        <v>261</v>
      </c>
    </row>
    <row r="244" spans="2:19" ht="15" customHeight="1" x14ac:dyDescent="0.25">
      <c r="B244" s="136" t="str">
        <f>HYPERLINK("https://www.pbo.gov.au/elections/2025-general-election/2025-election-commitments-costings/Future%20Generations%20Fund%20and%20Regional%20Australia%20Future%20Fund", "ECR-2025-2651")</f>
        <v>ECR-2025-2651</v>
      </c>
      <c r="C244" s="59" t="s">
        <v>251</v>
      </c>
      <c r="D244" s="60">
        <v>0</v>
      </c>
      <c r="E244" s="60">
        <v>-161</v>
      </c>
      <c r="F244" s="60">
        <v>-216</v>
      </c>
      <c r="G244" s="60">
        <v>-217</v>
      </c>
      <c r="H244" s="60">
        <v>-218</v>
      </c>
      <c r="I244" s="60">
        <v>-219</v>
      </c>
      <c r="J244" s="60">
        <v>-219</v>
      </c>
      <c r="K244" s="60">
        <v>-218</v>
      </c>
      <c r="L244" s="60">
        <v>-217</v>
      </c>
      <c r="M244" s="60">
        <v>-216</v>
      </c>
      <c r="N244" s="60">
        <v>-213</v>
      </c>
      <c r="O244" s="60">
        <v>-594</v>
      </c>
      <c r="P244" s="60">
        <v>-2114</v>
      </c>
      <c r="Q244" s="61"/>
      <c r="R244" s="61"/>
      <c r="S244" s="59" t="s">
        <v>313</v>
      </c>
    </row>
    <row r="245" spans="2:19" ht="15" customHeight="1" x14ac:dyDescent="0.25">
      <c r="B245" s="136" t="str">
        <f>HYPERLINK("https://www.pbo.gov.au/elections/2025-general-election/2025-election-commitments-costings/startup-year-loan-scheme-reprioritise", "ECR-2025-2763")</f>
        <v>ECR-2025-2763</v>
      </c>
      <c r="C245" s="59" t="s">
        <v>196</v>
      </c>
      <c r="D245" s="60">
        <v>0.4</v>
      </c>
      <c r="E245" s="60">
        <v>1.4</v>
      </c>
      <c r="F245" s="60">
        <v>2.7</v>
      </c>
      <c r="G245" s="60">
        <v>3.9</v>
      </c>
      <c r="H245" s="60">
        <v>5.3</v>
      </c>
      <c r="I245" s="60">
        <v>6.6</v>
      </c>
      <c r="J245" s="60">
        <v>8</v>
      </c>
      <c r="K245" s="60">
        <v>9.5</v>
      </c>
      <c r="L245" s="60">
        <v>11</v>
      </c>
      <c r="M245" s="60">
        <v>12.5</v>
      </c>
      <c r="N245" s="60">
        <v>14</v>
      </c>
      <c r="O245" s="60">
        <v>8.4</v>
      </c>
      <c r="P245" s="60">
        <v>75.3</v>
      </c>
      <c r="Q245" s="61"/>
      <c r="R245" s="61"/>
      <c r="S245" s="59" t="s">
        <v>261</v>
      </c>
    </row>
    <row r="246" spans="2:19" ht="15" customHeight="1" x14ac:dyDescent="0.25">
      <c r="B246" s="136" t="str">
        <f>HYPERLINK("https://www.pbo.gov.au/elections/2025-general-election/2025-election-commitments-costings/reinstate-50-pass-mark-required-hecs-help-loans", "ECR-2025-2764")</f>
        <v>ECR-2025-2764</v>
      </c>
      <c r="C246" s="59" t="s">
        <v>222</v>
      </c>
      <c r="D246" s="60">
        <v>0.4</v>
      </c>
      <c r="E246" s="60">
        <v>1.6</v>
      </c>
      <c r="F246" s="60">
        <v>3.5</v>
      </c>
      <c r="G246" s="60">
        <v>5.6</v>
      </c>
      <c r="H246" s="60">
        <v>7.9</v>
      </c>
      <c r="I246" s="60">
        <v>10.4</v>
      </c>
      <c r="J246" s="60">
        <v>13</v>
      </c>
      <c r="K246" s="60">
        <v>15.7</v>
      </c>
      <c r="L246" s="60">
        <v>18.600000000000001</v>
      </c>
      <c r="M246" s="60">
        <v>21.6</v>
      </c>
      <c r="N246" s="60">
        <v>24.7</v>
      </c>
      <c r="O246" s="60">
        <v>11.1</v>
      </c>
      <c r="P246" s="60">
        <v>123</v>
      </c>
      <c r="Q246" s="61"/>
      <c r="R246" s="61"/>
      <c r="S246" s="59" t="s">
        <v>292</v>
      </c>
    </row>
    <row r="247" spans="2:19" ht="15" customHeight="1" x14ac:dyDescent="0.25">
      <c r="B247" s="136" t="str">
        <f>HYPERLINK("https://www.pbo.gov.au/elections/2025-general-election/2025-election-commitments-costings/housing-infrastructure-program", "ECR-2025-2862")</f>
        <v>ECR-2025-2862</v>
      </c>
      <c r="C247" s="59" t="s">
        <v>212</v>
      </c>
      <c r="D247" s="60">
        <v>-9</v>
      </c>
      <c r="E247" s="60">
        <v>-39</v>
      </c>
      <c r="F247" s="60">
        <v>-81</v>
      </c>
      <c r="G247" s="60">
        <v>-123</v>
      </c>
      <c r="H247" s="60">
        <v>-155</v>
      </c>
      <c r="I247" s="60">
        <v>-166</v>
      </c>
      <c r="J247" s="60">
        <v>-165</v>
      </c>
      <c r="K247" s="60">
        <v>-165</v>
      </c>
      <c r="L247" s="60">
        <v>-167</v>
      </c>
      <c r="M247" s="60">
        <v>-171</v>
      </c>
      <c r="N247" s="60">
        <v>-175</v>
      </c>
      <c r="O247" s="60">
        <v>-252</v>
      </c>
      <c r="P247" s="60">
        <v>-1416</v>
      </c>
      <c r="Q247" s="61"/>
      <c r="R247" s="61"/>
      <c r="S247" s="59" t="s">
        <v>323</v>
      </c>
    </row>
    <row r="248" spans="2:19" ht="15" customHeight="1" x14ac:dyDescent="0.25">
      <c r="B248" s="136" t="str">
        <f>HYPERLINK("https://www.pbo.gov.au/elections/2025-general-election/2025-election-commitments-costings/High-quality-Graduate-Diplomas-of-Education", "ECR-2025-2868")</f>
        <v>ECR-2025-2868</v>
      </c>
      <c r="C248" s="59" t="s">
        <v>447</v>
      </c>
      <c r="D248" s="60">
        <v>0</v>
      </c>
      <c r="E248" s="60">
        <v>0.8</v>
      </c>
      <c r="F248" s="60">
        <v>3.5</v>
      </c>
      <c r="G248" s="60">
        <v>7.8</v>
      </c>
      <c r="H248" s="60">
        <v>12.7</v>
      </c>
      <c r="I248" s="60">
        <v>18</v>
      </c>
      <c r="J248" s="60">
        <v>23.7</v>
      </c>
      <c r="K248" s="60">
        <v>29.8</v>
      </c>
      <c r="L248" s="60">
        <v>36.5</v>
      </c>
      <c r="M248" s="60">
        <v>43.8</v>
      </c>
      <c r="N248" s="60">
        <v>51.6</v>
      </c>
      <c r="O248" s="60">
        <v>12.1</v>
      </c>
      <c r="P248" s="60">
        <v>228.2</v>
      </c>
      <c r="Q248" s="61"/>
      <c r="R248" s="61"/>
      <c r="S248" s="59" t="s">
        <v>333</v>
      </c>
    </row>
    <row r="249" spans="2:19" ht="15" customHeight="1" x14ac:dyDescent="0.25">
      <c r="B249" s="136" t="str">
        <f>HYPERLINK("https://www.pbo.gov.au/elections/2025-general-election/2025-election-commitments-costings/investing-regional-health-education-infrastructure-and-workforce", "ECR-2025-2888")</f>
        <v>ECR-2025-2888</v>
      </c>
      <c r="C249" s="59" t="s">
        <v>215</v>
      </c>
      <c r="D249" s="60">
        <v>-0.6</v>
      </c>
      <c r="E249" s="60">
        <v>-2.1</v>
      </c>
      <c r="F249" s="60">
        <v>-4</v>
      </c>
      <c r="G249" s="60">
        <v>-5.6</v>
      </c>
      <c r="H249" s="60">
        <v>-6.4</v>
      </c>
      <c r="I249" s="60">
        <v>-7</v>
      </c>
      <c r="J249" s="60">
        <v>-7.6</v>
      </c>
      <c r="K249" s="60">
        <v>-8.1</v>
      </c>
      <c r="L249" s="60">
        <v>-8.4</v>
      </c>
      <c r="M249" s="60">
        <v>-8.8000000000000007</v>
      </c>
      <c r="N249" s="60">
        <v>-9.1999999999999993</v>
      </c>
      <c r="O249" s="60">
        <v>-12.3</v>
      </c>
      <c r="P249" s="60">
        <v>-67.8</v>
      </c>
      <c r="Q249" s="61"/>
      <c r="R249" s="61"/>
      <c r="S249" s="59" t="s">
        <v>335</v>
      </c>
    </row>
    <row r="250" spans="2:19" ht="15" customHeight="1" x14ac:dyDescent="0.25">
      <c r="B250" s="3" t="s">
        <v>20</v>
      </c>
      <c r="C250" s="3"/>
      <c r="D250" s="55">
        <v>-105.5</v>
      </c>
      <c r="E250" s="55">
        <v>-318.60000000000002</v>
      </c>
      <c r="F250" s="55">
        <v>-373.9</v>
      </c>
      <c r="G250" s="55">
        <v>-106.4</v>
      </c>
      <c r="H250" s="55">
        <v>331.9</v>
      </c>
      <c r="I250" s="55">
        <v>784.6</v>
      </c>
      <c r="J250" s="55">
        <v>1075.4000000000001</v>
      </c>
      <c r="K250" s="55">
        <v>1180.5</v>
      </c>
      <c r="L250" s="55">
        <v>1074.4000000000001</v>
      </c>
      <c r="M250" s="55">
        <v>705.8</v>
      </c>
      <c r="N250" s="55">
        <v>113.9</v>
      </c>
      <c r="O250" s="55">
        <v>-904.4</v>
      </c>
      <c r="P250" s="55">
        <v>4362.1000000000004</v>
      </c>
      <c r="Q250" s="5" t="s">
        <v>14</v>
      </c>
      <c r="R250" s="4"/>
      <c r="S250" s="3"/>
    </row>
    <row r="251" spans="2:19" ht="15" customHeight="1" x14ac:dyDescent="0.25">
      <c r="B251" s="6" t="s">
        <v>608</v>
      </c>
      <c r="C251" s="6"/>
      <c r="D251" s="56">
        <v>857.6</v>
      </c>
      <c r="E251" s="56">
        <v>949.1</v>
      </c>
      <c r="F251" s="56">
        <v>1057.5</v>
      </c>
      <c r="G251" s="56">
        <v>1574</v>
      </c>
      <c r="H251" s="56">
        <v>2225.6999999999998</v>
      </c>
      <c r="I251" s="56">
        <v>2782.3</v>
      </c>
      <c r="J251" s="56">
        <v>3053.2</v>
      </c>
      <c r="K251" s="56">
        <v>3068.9</v>
      </c>
      <c r="L251" s="56">
        <v>2838.3</v>
      </c>
      <c r="M251" s="56">
        <v>2279.3000000000002</v>
      </c>
      <c r="N251" s="56">
        <v>1426.2</v>
      </c>
      <c r="O251" s="56">
        <v>4449.8</v>
      </c>
      <c r="P251" s="56">
        <v>22123.7</v>
      </c>
      <c r="Q251" s="7" t="s">
        <v>21</v>
      </c>
      <c r="R251" s="7" t="s">
        <v>22</v>
      </c>
      <c r="S251" s="6"/>
    </row>
    <row r="252" spans="2:19" ht="15" customHeight="1" x14ac:dyDescent="0.25"/>
    <row r="253" spans="2:19" ht="15" customHeight="1" x14ac:dyDescent="0.25">
      <c r="B253" s="14" t="s">
        <v>23</v>
      </c>
      <c r="Q253" s="69"/>
      <c r="R253" s="70"/>
    </row>
    <row r="254" spans="2:19" ht="15" customHeight="1" x14ac:dyDescent="0.25">
      <c r="B254" s="10" t="s">
        <v>24</v>
      </c>
      <c r="Q254" s="69"/>
      <c r="R254" s="70"/>
    </row>
    <row r="255" spans="2:19" ht="15" customHeight="1" x14ac:dyDescent="0.25">
      <c r="B255" s="10" t="s">
        <v>25</v>
      </c>
      <c r="Q255" s="69"/>
      <c r="R255" s="70"/>
    </row>
    <row r="256" spans="2:19" ht="15" customHeight="1" x14ac:dyDescent="0.25">
      <c r="B256" s="10" t="s">
        <v>26</v>
      </c>
      <c r="Q256" s="69"/>
      <c r="R256" s="70"/>
    </row>
    <row r="257" spans="2:19" ht="15" customHeight="1" x14ac:dyDescent="0.25">
      <c r="B257" s="10" t="s">
        <v>27</v>
      </c>
      <c r="Q257" s="69"/>
      <c r="R257" s="70"/>
    </row>
    <row r="258" spans="2:19" ht="15" customHeight="1" x14ac:dyDescent="0.25">
      <c r="B258" s="10" t="s">
        <v>28</v>
      </c>
      <c r="C258" s="72"/>
      <c r="D258" s="73"/>
      <c r="E258" s="73"/>
      <c r="F258" s="73"/>
      <c r="G258" s="73"/>
      <c r="H258" s="73"/>
      <c r="I258" s="73"/>
      <c r="J258" s="73"/>
      <c r="K258" s="73"/>
      <c r="L258" s="73"/>
      <c r="M258" s="73"/>
      <c r="N258" s="73"/>
      <c r="O258" s="73"/>
      <c r="P258" s="73"/>
      <c r="Q258" s="74"/>
      <c r="R258" s="75"/>
      <c r="S258" s="72"/>
    </row>
    <row r="259" spans="2:19" ht="15" customHeight="1" x14ac:dyDescent="0.25">
      <c r="B259" s="71" t="s">
        <v>29</v>
      </c>
      <c r="Q259" s="69"/>
      <c r="R259" s="70"/>
    </row>
    <row r="260" spans="2:19" ht="15" customHeight="1" x14ac:dyDescent="0.25">
      <c r="B260" s="10" t="s">
        <v>390</v>
      </c>
      <c r="Q260" s="69"/>
      <c r="R260" s="70"/>
    </row>
    <row r="261" spans="2:19" ht="15" customHeight="1" x14ac:dyDescent="0.25">
      <c r="B261" s="10" t="s">
        <v>468</v>
      </c>
      <c r="Q261" s="69"/>
      <c r="R261" s="70"/>
    </row>
    <row r="262" spans="2:19" ht="15" customHeight="1" x14ac:dyDescent="0.25">
      <c r="B262" s="10" t="s">
        <v>467</v>
      </c>
      <c r="Q262" s="69"/>
      <c r="R262" s="70"/>
    </row>
    <row r="263" spans="2:19" ht="15" customHeight="1" x14ac:dyDescent="0.25">
      <c r="B263" s="10" t="s">
        <v>613</v>
      </c>
      <c r="Q263" s="69"/>
      <c r="R263" s="70"/>
    </row>
    <row r="264" spans="2:19" ht="15" customHeight="1" x14ac:dyDescent="0.25">
      <c r="B264" s="10" t="s">
        <v>614</v>
      </c>
      <c r="Q264" s="69"/>
      <c r="R264" s="70"/>
    </row>
    <row r="265" spans="2:19" ht="15" customHeight="1" x14ac:dyDescent="0.25">
      <c r="B265" s="10"/>
      <c r="Q265" s="69"/>
      <c r="R265" s="70"/>
    </row>
    <row r="266" spans="2:19" x14ac:dyDescent="0.25">
      <c r="B266" s="15" t="s">
        <v>30</v>
      </c>
      <c r="Q266" s="69"/>
      <c r="R266" s="70"/>
    </row>
    <row r="267" spans="2:19" x14ac:dyDescent="0.25">
      <c r="Q267" s="69"/>
      <c r="R267" s="70"/>
    </row>
    <row r="268" spans="2:19" x14ac:dyDescent="0.25">
      <c r="Q268" s="69"/>
      <c r="R268" s="70"/>
    </row>
  </sheetData>
  <mergeCells count="1">
    <mergeCell ref="B1:F1"/>
  </mergeCells>
  <conditionalFormatting sqref="B4 B66 B76 B111 B167 B212">
    <cfRule type="expression" dxfId="0" priority="1">
      <formula>LEFT($E4,3)="ECR"</formula>
    </cfRule>
  </conditionalFormatting>
  <hyperlinks>
    <hyperlink ref="B266" location="Contents!A1" display="Back to contents" xr:uid="{22FA02DB-4F2A-4C61-A995-E0A13571AD5F}"/>
    <hyperlink ref="B67" r:id="rId1" xr:uid="{9E698CD4-0101-40A0-9E77-BD3073A06204}"/>
    <hyperlink ref="B234" r:id="rId2" xr:uid="{7E15E635-83C3-4387-B211-CCE9B3726967}"/>
  </hyperlinks>
  <pageMargins left="0.25" right="0.25"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4B40-D2C4-4AA5-9AA8-76E516A300D8}">
  <sheetPr>
    <tabColor theme="0" tint="-4.9989318521683403E-2"/>
  </sheetPr>
  <dimension ref="A2:X35"/>
  <sheetViews>
    <sheetView showGridLines="0" zoomScaleNormal="100" workbookViewId="0"/>
  </sheetViews>
  <sheetFormatPr defaultColWidth="8.85546875" defaultRowHeight="12" x14ac:dyDescent="0.25"/>
  <cols>
    <col min="1" max="1" width="3.570312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386</v>
      </c>
    </row>
    <row r="3" spans="1:18" s="13" customFormat="1" ht="24" customHeight="1" x14ac:dyDescent="0.25">
      <c r="A3" s="12"/>
      <c r="B3" s="31" t="s">
        <v>31</v>
      </c>
      <c r="C3" s="54" t="s">
        <v>471</v>
      </c>
      <c r="D3" s="54" t="s">
        <v>618</v>
      </c>
      <c r="E3" s="54" t="s">
        <v>619</v>
      </c>
      <c r="F3" s="54" t="s">
        <v>620</v>
      </c>
      <c r="G3" s="54" t="s">
        <v>621</v>
      </c>
      <c r="H3" s="54" t="s">
        <v>622</v>
      </c>
      <c r="I3" s="54" t="s">
        <v>623</v>
      </c>
      <c r="J3" s="54" t="s">
        <v>624</v>
      </c>
      <c r="K3" s="54" t="s">
        <v>625</v>
      </c>
      <c r="L3" s="54" t="s">
        <v>626</v>
      </c>
      <c r="M3" s="54" t="s">
        <v>627</v>
      </c>
      <c r="N3" s="54" t="s">
        <v>628</v>
      </c>
      <c r="O3" s="138" t="s">
        <v>629</v>
      </c>
      <c r="P3" s="2" t="s">
        <v>6</v>
      </c>
      <c r="Q3" s="32" t="s">
        <v>7</v>
      </c>
    </row>
    <row r="4" spans="1:18" ht="15" customHeight="1" x14ac:dyDescent="0.25">
      <c r="B4" s="27" t="s">
        <v>32</v>
      </c>
      <c r="C4" s="28">
        <v>-42.2</v>
      </c>
      <c r="D4" s="28">
        <v>-35.4</v>
      </c>
      <c r="E4" s="28">
        <v>-37.1</v>
      </c>
      <c r="F4" s="28">
        <v>-37</v>
      </c>
      <c r="G4" s="28">
        <v>-41.2</v>
      </c>
      <c r="H4" s="28">
        <v>-33.700000000000003</v>
      </c>
      <c r="I4" s="28">
        <v>-32.1</v>
      </c>
      <c r="J4" s="28">
        <v>-32.6</v>
      </c>
      <c r="K4" s="28">
        <v>-22</v>
      </c>
      <c r="L4" s="28">
        <v>-12.8</v>
      </c>
      <c r="M4" s="28">
        <v>-0.9</v>
      </c>
      <c r="N4" s="28">
        <v>-151.6</v>
      </c>
      <c r="O4" s="28">
        <v>-327</v>
      </c>
      <c r="P4" s="29" t="s">
        <v>9</v>
      </c>
      <c r="Q4" s="29" t="s">
        <v>33</v>
      </c>
    </row>
    <row r="5" spans="1:18" s="45" customFormat="1" ht="15" customHeight="1" x14ac:dyDescent="0.25">
      <c r="A5" s="42"/>
      <c r="B5" s="51" t="s">
        <v>449</v>
      </c>
      <c r="C5" s="43">
        <v>-1.5</v>
      </c>
      <c r="D5" s="43">
        <v>-1.2</v>
      </c>
      <c r="E5" s="43">
        <v>-1.2</v>
      </c>
      <c r="F5" s="43">
        <v>-1.1000000000000001</v>
      </c>
      <c r="G5" s="43">
        <v>-1.2</v>
      </c>
      <c r="H5" s="43">
        <v>-0.9</v>
      </c>
      <c r="I5" s="43">
        <v>-0.8</v>
      </c>
      <c r="J5" s="43">
        <v>-0.8</v>
      </c>
      <c r="K5" s="43">
        <v>-0.5</v>
      </c>
      <c r="L5" s="43">
        <v>-0.3</v>
      </c>
      <c r="M5" s="43" t="s">
        <v>12</v>
      </c>
      <c r="N5" s="57"/>
      <c r="O5" s="57"/>
      <c r="P5" s="44"/>
      <c r="Q5" s="44"/>
    </row>
    <row r="6" spans="1:18" ht="15" customHeight="1" x14ac:dyDescent="0.25">
      <c r="B6" s="33" t="s">
        <v>92</v>
      </c>
      <c r="C6" s="34"/>
      <c r="D6" s="34"/>
      <c r="E6" s="34"/>
      <c r="F6" s="34"/>
      <c r="G6" s="34"/>
      <c r="H6" s="34"/>
      <c r="I6" s="34"/>
      <c r="J6" s="34"/>
      <c r="K6" s="34"/>
      <c r="L6" s="34"/>
      <c r="M6" s="34"/>
      <c r="N6" s="34"/>
      <c r="O6" s="34"/>
      <c r="P6" s="35"/>
      <c r="Q6" s="36"/>
    </row>
    <row r="7" spans="1:18" s="21" customFormat="1" ht="15" customHeight="1" x14ac:dyDescent="0.25">
      <c r="A7" s="20"/>
      <c r="B7" s="30" t="s">
        <v>34</v>
      </c>
      <c r="C7" s="28">
        <v>-5.7</v>
      </c>
      <c r="D7" s="28">
        <v>-4.8</v>
      </c>
      <c r="E7" s="28">
        <v>7.5</v>
      </c>
      <c r="F7" s="28">
        <v>9.5</v>
      </c>
      <c r="G7" s="28">
        <v>14.7</v>
      </c>
      <c r="H7" s="28">
        <v>8.9</v>
      </c>
      <c r="I7" s="28">
        <v>5.6</v>
      </c>
      <c r="J7" s="28">
        <v>0.6</v>
      </c>
      <c r="K7" s="28">
        <v>-4.7</v>
      </c>
      <c r="L7" s="28">
        <v>-11.8</v>
      </c>
      <c r="M7" s="28">
        <v>-13.7</v>
      </c>
      <c r="N7" s="28">
        <v>6.6</v>
      </c>
      <c r="O7" s="28">
        <v>6.2</v>
      </c>
      <c r="P7" s="29" t="s">
        <v>14</v>
      </c>
      <c r="Q7" s="29" t="s">
        <v>35</v>
      </c>
    </row>
    <row r="8" spans="1:18" s="45" customFormat="1" ht="15" customHeight="1" x14ac:dyDescent="0.25">
      <c r="A8" s="42"/>
      <c r="B8" s="51" t="s">
        <v>449</v>
      </c>
      <c r="C8" s="43">
        <v>-0.2</v>
      </c>
      <c r="D8" s="43">
        <v>-0.2</v>
      </c>
      <c r="E8" s="43">
        <v>0.2</v>
      </c>
      <c r="F8" s="43">
        <v>0.3</v>
      </c>
      <c r="G8" s="43">
        <v>0.4</v>
      </c>
      <c r="H8" s="43">
        <v>0.2</v>
      </c>
      <c r="I8" s="43">
        <v>0.1</v>
      </c>
      <c r="J8" s="43" t="s">
        <v>12</v>
      </c>
      <c r="K8" s="43">
        <v>-0.1</v>
      </c>
      <c r="L8" s="43">
        <v>-0.3</v>
      </c>
      <c r="M8" s="43">
        <v>-0.3</v>
      </c>
      <c r="N8" s="57"/>
      <c r="O8" s="57"/>
      <c r="P8" s="46"/>
      <c r="Q8" s="46"/>
    </row>
    <row r="9" spans="1:18" s="21" customFormat="1" ht="15" customHeight="1" x14ac:dyDescent="0.25">
      <c r="A9" s="20"/>
      <c r="B9" s="30" t="s">
        <v>615</v>
      </c>
      <c r="C9" s="28" t="s">
        <v>463</v>
      </c>
      <c r="D9" s="28" t="s">
        <v>463</v>
      </c>
      <c r="E9" s="28" t="s">
        <v>463</v>
      </c>
      <c r="F9" s="28" t="s">
        <v>463</v>
      </c>
      <c r="G9" s="28" t="s">
        <v>463</v>
      </c>
      <c r="H9" s="28">
        <v>-3.4</v>
      </c>
      <c r="I9" s="28">
        <v>-9.3000000000000007</v>
      </c>
      <c r="J9" s="28">
        <v>-17.2</v>
      </c>
      <c r="K9" s="28">
        <v>-26.8</v>
      </c>
      <c r="L9" s="28">
        <v>-36.200000000000003</v>
      </c>
      <c r="M9" s="28">
        <v>-48.9</v>
      </c>
      <c r="N9" s="28" t="s">
        <v>463</v>
      </c>
      <c r="O9" s="28">
        <v>-141.80000000000001</v>
      </c>
      <c r="P9" s="29" t="s">
        <v>15</v>
      </c>
      <c r="Q9" s="29" t="s">
        <v>36</v>
      </c>
    </row>
    <row r="10" spans="1:18" s="45" customFormat="1" ht="15" customHeight="1" x14ac:dyDescent="0.25">
      <c r="A10" s="42"/>
      <c r="B10" s="51" t="s">
        <v>449</v>
      </c>
      <c r="C10" s="43" t="s">
        <v>463</v>
      </c>
      <c r="D10" s="43" t="s">
        <v>463</v>
      </c>
      <c r="E10" s="43" t="s">
        <v>463</v>
      </c>
      <c r="F10" s="43" t="s">
        <v>463</v>
      </c>
      <c r="G10" s="43" t="s">
        <v>463</v>
      </c>
      <c r="H10" s="43">
        <v>-0.1</v>
      </c>
      <c r="I10" s="43">
        <v>-0.2</v>
      </c>
      <c r="J10" s="43">
        <v>-0.4</v>
      </c>
      <c r="K10" s="43">
        <v>-0.6</v>
      </c>
      <c r="L10" s="43">
        <v>-0.8</v>
      </c>
      <c r="M10" s="43">
        <v>-1</v>
      </c>
      <c r="N10" s="57"/>
      <c r="O10" s="57"/>
      <c r="P10" s="46"/>
      <c r="Q10" s="47"/>
    </row>
    <row r="11" spans="1:18" s="21" customFormat="1" ht="15" customHeight="1" x14ac:dyDescent="0.25">
      <c r="A11" s="20"/>
      <c r="B11" s="30" t="s">
        <v>464</v>
      </c>
      <c r="C11" s="28">
        <v>-5.7</v>
      </c>
      <c r="D11" s="28">
        <v>-4.8</v>
      </c>
      <c r="E11" s="28">
        <v>7.5</v>
      </c>
      <c r="F11" s="28">
        <v>9.5</v>
      </c>
      <c r="G11" s="28">
        <v>14.7</v>
      </c>
      <c r="H11" s="28">
        <v>5.6</v>
      </c>
      <c r="I11" s="28">
        <v>-3.7</v>
      </c>
      <c r="J11" s="28">
        <v>-16.600000000000001</v>
      </c>
      <c r="K11" s="28">
        <v>-31.6</v>
      </c>
      <c r="L11" s="28">
        <v>-48</v>
      </c>
      <c r="M11" s="28">
        <v>-62.5</v>
      </c>
      <c r="N11" s="28">
        <v>6.6</v>
      </c>
      <c r="O11" s="28">
        <v>-135.6</v>
      </c>
      <c r="P11" s="29" t="s">
        <v>19</v>
      </c>
      <c r="Q11" s="29" t="s">
        <v>452</v>
      </c>
    </row>
    <row r="12" spans="1:18" s="45" customFormat="1" ht="15" customHeight="1" x14ac:dyDescent="0.25">
      <c r="A12" s="42"/>
      <c r="B12" s="51" t="s">
        <v>449</v>
      </c>
      <c r="C12" s="43">
        <v>-0.2</v>
      </c>
      <c r="D12" s="43">
        <v>-0.2</v>
      </c>
      <c r="E12" s="43">
        <v>0.2</v>
      </c>
      <c r="F12" s="43">
        <v>0.3</v>
      </c>
      <c r="G12" s="43">
        <v>0.4</v>
      </c>
      <c r="H12" s="43">
        <v>0.2</v>
      </c>
      <c r="I12" s="43">
        <v>-0.1</v>
      </c>
      <c r="J12" s="43">
        <v>-0.4</v>
      </c>
      <c r="K12" s="43">
        <v>-0.7</v>
      </c>
      <c r="L12" s="43">
        <v>-1.1000000000000001</v>
      </c>
      <c r="M12" s="43">
        <v>-1.3</v>
      </c>
      <c r="N12" s="57"/>
      <c r="O12" s="57"/>
      <c r="P12" s="48"/>
      <c r="Q12" s="49"/>
    </row>
    <row r="13" spans="1:18" s="21" customFormat="1" ht="15" customHeight="1" x14ac:dyDescent="0.25">
      <c r="A13" s="20"/>
      <c r="B13" s="30" t="s">
        <v>38</v>
      </c>
      <c r="C13" s="28">
        <v>-47.9</v>
      </c>
      <c r="D13" s="28">
        <v>-40.200000000000003</v>
      </c>
      <c r="E13" s="28">
        <v>-29.6</v>
      </c>
      <c r="F13" s="28">
        <v>-27.5</v>
      </c>
      <c r="G13" s="28">
        <v>-26.5</v>
      </c>
      <c r="H13" s="28">
        <v>-28.2</v>
      </c>
      <c r="I13" s="28">
        <v>-35.799999999999997</v>
      </c>
      <c r="J13" s="28">
        <v>-49.2</v>
      </c>
      <c r="K13" s="28">
        <v>-53.5</v>
      </c>
      <c r="L13" s="28">
        <v>-60.8</v>
      </c>
      <c r="M13" s="28">
        <v>-63.5</v>
      </c>
      <c r="N13" s="28">
        <v>-145</v>
      </c>
      <c r="O13" s="28">
        <v>-462.6</v>
      </c>
      <c r="P13" s="29" t="s">
        <v>21</v>
      </c>
      <c r="Q13" s="29" t="s">
        <v>453</v>
      </c>
    </row>
    <row r="14" spans="1:18" s="50" customFormat="1" ht="15" customHeight="1" x14ac:dyDescent="0.25">
      <c r="A14" s="42"/>
      <c r="B14" s="51" t="s">
        <v>449</v>
      </c>
      <c r="C14" s="43">
        <v>-1.7</v>
      </c>
      <c r="D14" s="43">
        <v>-1.3</v>
      </c>
      <c r="E14" s="43">
        <v>-0.9</v>
      </c>
      <c r="F14" s="43">
        <v>-0.8</v>
      </c>
      <c r="G14" s="43">
        <v>-0.8</v>
      </c>
      <c r="H14" s="43">
        <v>-0.8</v>
      </c>
      <c r="I14" s="43">
        <v>-0.9</v>
      </c>
      <c r="J14" s="43">
        <v>-1.2</v>
      </c>
      <c r="K14" s="43">
        <v>-1.3</v>
      </c>
      <c r="L14" s="43">
        <v>-1.4</v>
      </c>
      <c r="M14" s="43">
        <v>-1.3</v>
      </c>
      <c r="N14" s="57"/>
      <c r="O14" s="57"/>
      <c r="P14" s="44"/>
      <c r="Q14" s="44"/>
      <c r="R14" s="45"/>
    </row>
    <row r="15" spans="1:18" s="9" customFormat="1" ht="15" customHeight="1" x14ac:dyDescent="0.25">
      <c r="A15" s="8"/>
      <c r="B15" s="14"/>
      <c r="C15" s="16"/>
      <c r="D15" s="16"/>
      <c r="E15" s="16"/>
      <c r="F15" s="16"/>
      <c r="G15" s="16"/>
      <c r="H15" s="16"/>
      <c r="I15" s="16"/>
      <c r="J15" s="16"/>
      <c r="K15" s="16"/>
      <c r="L15" s="16"/>
      <c r="M15" s="16"/>
      <c r="N15" s="16"/>
      <c r="O15" s="16"/>
      <c r="P15" s="17"/>
      <c r="Q15" s="17"/>
    </row>
    <row r="16" spans="1:18" s="9" customFormat="1" ht="15" customHeight="1" x14ac:dyDescent="0.25">
      <c r="A16" s="8"/>
      <c r="B16" s="14" t="s">
        <v>23</v>
      </c>
      <c r="C16" s="16"/>
      <c r="D16" s="16"/>
      <c r="E16" s="16"/>
      <c r="F16" s="16"/>
      <c r="G16" s="16"/>
      <c r="H16" s="16"/>
      <c r="I16" s="16"/>
      <c r="J16" s="16"/>
      <c r="K16" s="16"/>
      <c r="L16" s="16"/>
      <c r="M16" s="16"/>
      <c r="N16" s="16"/>
      <c r="O16" s="16"/>
      <c r="P16" s="17"/>
      <c r="Q16" s="17"/>
    </row>
    <row r="17" spans="1:24" s="9" customFormat="1" ht="15" customHeight="1" x14ac:dyDescent="0.25">
      <c r="A17" s="8"/>
      <c r="B17" s="10" t="s">
        <v>24</v>
      </c>
      <c r="C17" s="16"/>
      <c r="D17" s="16"/>
      <c r="E17" s="16"/>
      <c r="F17" s="16"/>
      <c r="G17" s="16"/>
      <c r="H17" s="16"/>
      <c r="I17" s="16"/>
      <c r="J17" s="16"/>
      <c r="K17" s="16"/>
      <c r="L17" s="16"/>
      <c r="M17" s="16"/>
      <c r="N17" s="16"/>
      <c r="O17" s="16"/>
      <c r="P17" s="17"/>
      <c r="Q17" s="17"/>
    </row>
    <row r="18" spans="1:24" s="9" customFormat="1" ht="15" customHeight="1" x14ac:dyDescent="0.25">
      <c r="A18" s="8"/>
      <c r="B18" s="10" t="s">
        <v>25</v>
      </c>
      <c r="C18" s="16"/>
      <c r="D18" s="16"/>
      <c r="E18" s="16"/>
      <c r="F18" s="16"/>
      <c r="G18" s="16"/>
      <c r="H18" s="16"/>
      <c r="I18" s="16"/>
      <c r="J18" s="16"/>
      <c r="K18" s="16"/>
      <c r="L18" s="16"/>
      <c r="M18" s="16"/>
      <c r="N18" s="16"/>
      <c r="O18" s="16"/>
      <c r="P18" s="17"/>
      <c r="Q18" s="17"/>
    </row>
    <row r="19" spans="1:24" s="9" customFormat="1" ht="15" customHeight="1" x14ac:dyDescent="0.25">
      <c r="A19" s="8"/>
      <c r="B19" s="10" t="s">
        <v>26</v>
      </c>
      <c r="C19" s="16"/>
      <c r="D19" s="16"/>
      <c r="E19" s="16"/>
      <c r="F19" s="16"/>
      <c r="G19" s="16"/>
      <c r="H19" s="16"/>
      <c r="I19" s="16"/>
      <c r="J19" s="16"/>
      <c r="K19" s="16"/>
      <c r="L19" s="16"/>
      <c r="M19" s="16"/>
      <c r="N19" s="16"/>
      <c r="O19" s="16"/>
      <c r="P19" s="17"/>
      <c r="Q19" s="17"/>
    </row>
    <row r="20" spans="1:24" s="9" customFormat="1" ht="15" customHeight="1" x14ac:dyDescent="0.25">
      <c r="A20" s="8"/>
      <c r="B20" s="10" t="s">
        <v>27</v>
      </c>
      <c r="C20" s="16"/>
      <c r="D20" s="16"/>
      <c r="E20" s="16"/>
      <c r="F20" s="16"/>
      <c r="G20" s="16"/>
      <c r="H20" s="16"/>
      <c r="I20" s="16"/>
      <c r="J20" s="16"/>
      <c r="K20" s="16"/>
      <c r="L20" s="16"/>
      <c r="M20" s="16"/>
      <c r="N20" s="16"/>
      <c r="O20" s="16"/>
      <c r="P20" s="17"/>
      <c r="Q20" s="17"/>
    </row>
    <row r="21" spans="1:24" s="9" customFormat="1" ht="15" customHeight="1" x14ac:dyDescent="0.25">
      <c r="A21" s="8"/>
      <c r="B21" s="71" t="s">
        <v>40</v>
      </c>
      <c r="C21" s="76"/>
      <c r="D21" s="76"/>
      <c r="E21" s="76"/>
      <c r="F21" s="76"/>
      <c r="G21" s="76"/>
      <c r="H21" s="76"/>
      <c r="I21" s="76"/>
      <c r="J21" s="76"/>
      <c r="K21" s="76"/>
      <c r="L21" s="76"/>
      <c r="M21" s="76"/>
      <c r="N21" s="76"/>
      <c r="O21" s="76"/>
      <c r="P21" s="77"/>
      <c r="Q21" s="77"/>
    </row>
    <row r="22" spans="1:24" ht="15" customHeight="1" x14ac:dyDescent="0.25">
      <c r="B22" s="10" t="s">
        <v>41</v>
      </c>
      <c r="R22" s="9"/>
      <c r="S22" s="9"/>
      <c r="T22" s="9"/>
      <c r="U22" s="9"/>
      <c r="V22" s="9"/>
      <c r="W22" s="9"/>
      <c r="X22" s="9"/>
    </row>
    <row r="23" spans="1:24" ht="15" customHeight="1" x14ac:dyDescent="0.25">
      <c r="B23" s="10" t="s">
        <v>465</v>
      </c>
      <c r="C23" s="78"/>
      <c r="D23" s="78"/>
      <c r="E23" s="78"/>
      <c r="F23" s="78"/>
      <c r="G23" s="78"/>
      <c r="H23" s="78"/>
      <c r="I23" s="78"/>
      <c r="J23" s="78"/>
      <c r="K23" s="78"/>
      <c r="L23" s="78"/>
      <c r="M23" s="78"/>
      <c r="N23" s="78"/>
      <c r="O23" s="78"/>
      <c r="P23" s="78"/>
      <c r="Q23" s="78"/>
      <c r="R23" s="9"/>
      <c r="S23" s="9"/>
      <c r="T23" s="9"/>
      <c r="U23" s="9"/>
      <c r="V23" s="9"/>
      <c r="W23" s="9"/>
      <c r="X23" s="9"/>
    </row>
    <row r="24" spans="1:24" ht="15" customHeight="1" x14ac:dyDescent="0.25">
      <c r="R24" s="9"/>
      <c r="S24" s="9"/>
      <c r="T24" s="9"/>
      <c r="U24" s="9"/>
      <c r="V24" s="9"/>
      <c r="W24" s="9"/>
      <c r="X24" s="9"/>
    </row>
    <row r="25" spans="1:24" ht="15" customHeight="1" x14ac:dyDescent="0.25">
      <c r="B25" s="15" t="s">
        <v>30</v>
      </c>
      <c r="R25" s="9"/>
      <c r="S25" s="9"/>
      <c r="T25" s="9"/>
      <c r="U25" s="9"/>
      <c r="V25" s="9"/>
      <c r="W25" s="9"/>
      <c r="X25" s="9"/>
    </row>
    <row r="26" spans="1:24" ht="15" customHeight="1" x14ac:dyDescent="0.25">
      <c r="R26" s="9"/>
      <c r="S26" s="9"/>
      <c r="T26" s="9"/>
      <c r="U26" s="9"/>
      <c r="V26" s="9"/>
      <c r="W26" s="9"/>
      <c r="X26" s="9"/>
    </row>
    <row r="27" spans="1:24" ht="12" customHeight="1" x14ac:dyDescent="0.25">
      <c r="R27" s="9"/>
      <c r="S27" s="9"/>
      <c r="T27" s="9"/>
      <c r="U27" s="9"/>
      <c r="V27" s="9"/>
      <c r="W27" s="9"/>
      <c r="X27" s="9"/>
    </row>
    <row r="28" spans="1:24" ht="12" customHeight="1" x14ac:dyDescent="0.25"/>
    <row r="29" spans="1:24" ht="12" customHeight="1" x14ac:dyDescent="0.25"/>
    <row r="30" spans="1:24" ht="12" customHeight="1" x14ac:dyDescent="0.25"/>
    <row r="31" spans="1:24" ht="12" customHeight="1" x14ac:dyDescent="0.25"/>
    <row r="32" spans="1:24" ht="12" customHeight="1" x14ac:dyDescent="0.25"/>
    <row r="33" ht="12" customHeight="1" x14ac:dyDescent="0.25"/>
    <row r="34" ht="12" customHeight="1" x14ac:dyDescent="0.25"/>
    <row r="35" ht="12" customHeight="1" x14ac:dyDescent="0.25"/>
  </sheetData>
  <hyperlinks>
    <hyperlink ref="B25" location="Contents!A1" display="Back to contents" xr:uid="{D89C4564-8590-4B62-9E40-E0A7EF3223AD}"/>
  </hyperlinks>
  <pageMargins left="0.25" right="0.25"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45D84-E591-4A30-9566-16D14288B098}">
  <sheetPr>
    <tabColor theme="0" tint="-4.9989318521683403E-2"/>
  </sheetPr>
  <dimension ref="A2:X35"/>
  <sheetViews>
    <sheetView showGridLines="0" zoomScaleNormal="100" workbookViewId="0"/>
  </sheetViews>
  <sheetFormatPr defaultColWidth="8.85546875" defaultRowHeight="12" x14ac:dyDescent="0.25"/>
  <cols>
    <col min="1" max="1" width="3.7109375" style="8" customWidth="1"/>
    <col min="2" max="2" width="60.570312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387</v>
      </c>
    </row>
    <row r="3" spans="1:18" s="13" customFormat="1" ht="24" customHeight="1" x14ac:dyDescent="0.25">
      <c r="A3" s="12"/>
      <c r="B3" s="37" t="s">
        <v>31</v>
      </c>
      <c r="C3" s="54" t="s">
        <v>471</v>
      </c>
      <c r="D3" s="54" t="s">
        <v>618</v>
      </c>
      <c r="E3" s="54" t="s">
        <v>619</v>
      </c>
      <c r="F3" s="54" t="s">
        <v>620</v>
      </c>
      <c r="G3" s="54" t="s">
        <v>621</v>
      </c>
      <c r="H3" s="54" t="s">
        <v>622</v>
      </c>
      <c r="I3" s="54" t="s">
        <v>623</v>
      </c>
      <c r="J3" s="54" t="s">
        <v>624</v>
      </c>
      <c r="K3" s="54" t="s">
        <v>625</v>
      </c>
      <c r="L3" s="54" t="s">
        <v>626</v>
      </c>
      <c r="M3" s="54" t="s">
        <v>627</v>
      </c>
      <c r="N3" s="54" t="s">
        <v>628</v>
      </c>
      <c r="O3" s="138" t="s">
        <v>629</v>
      </c>
      <c r="P3" s="22" t="s">
        <v>6</v>
      </c>
      <c r="Q3" s="38" t="s">
        <v>7</v>
      </c>
    </row>
    <row r="4" spans="1:18" ht="15" customHeight="1" x14ac:dyDescent="0.25">
      <c r="B4" s="27" t="s">
        <v>42</v>
      </c>
      <c r="C4" s="28">
        <v>-44.2</v>
      </c>
      <c r="D4" s="28">
        <v>-32.1</v>
      </c>
      <c r="E4" s="28">
        <v>-39.4</v>
      </c>
      <c r="F4" s="28">
        <v>-37.299999999999997</v>
      </c>
      <c r="G4" s="28">
        <v>-43.4</v>
      </c>
      <c r="H4" s="28">
        <v>-36.6</v>
      </c>
      <c r="I4" s="28">
        <v>-33.299999999999997</v>
      </c>
      <c r="J4" s="28">
        <v>-32.700000000000003</v>
      </c>
      <c r="K4" s="28">
        <v>-20.9</v>
      </c>
      <c r="L4" s="28">
        <v>-11.1</v>
      </c>
      <c r="M4" s="28">
        <v>2.2999999999999998</v>
      </c>
      <c r="N4" s="28">
        <v>-153</v>
      </c>
      <c r="O4" s="28">
        <v>-328.7</v>
      </c>
      <c r="P4" s="29" t="s">
        <v>9</v>
      </c>
      <c r="Q4" s="29" t="s">
        <v>33</v>
      </c>
    </row>
    <row r="5" spans="1:18" s="45" customFormat="1" ht="15" customHeight="1" x14ac:dyDescent="0.25">
      <c r="A5" s="42"/>
      <c r="B5" s="51" t="s">
        <v>449</v>
      </c>
      <c r="C5" s="43">
        <v>-1.5</v>
      </c>
      <c r="D5" s="43">
        <v>-1.1000000000000001</v>
      </c>
      <c r="E5" s="43">
        <v>-1.3</v>
      </c>
      <c r="F5" s="43">
        <v>-1.1000000000000001</v>
      </c>
      <c r="G5" s="43">
        <v>-1.2</v>
      </c>
      <c r="H5" s="43">
        <v>-1</v>
      </c>
      <c r="I5" s="43">
        <v>-0.9</v>
      </c>
      <c r="J5" s="43">
        <v>-0.8</v>
      </c>
      <c r="K5" s="43">
        <v>-0.5</v>
      </c>
      <c r="L5" s="43">
        <v>-0.2</v>
      </c>
      <c r="M5" s="43" t="s">
        <v>12</v>
      </c>
      <c r="N5" s="57"/>
      <c r="O5" s="57"/>
      <c r="P5" s="44"/>
      <c r="Q5" s="44"/>
    </row>
    <row r="6" spans="1:18" ht="15" customHeight="1" x14ac:dyDescent="0.25">
      <c r="B6" s="33" t="s">
        <v>92</v>
      </c>
      <c r="C6" s="26"/>
      <c r="D6" s="26"/>
      <c r="E6" s="26"/>
      <c r="F6" s="26"/>
      <c r="G6" s="26"/>
      <c r="H6" s="26"/>
      <c r="I6" s="26"/>
      <c r="J6" s="26"/>
      <c r="K6" s="26"/>
      <c r="L6" s="26"/>
      <c r="M6" s="26"/>
      <c r="N6" s="26"/>
      <c r="O6" s="26"/>
      <c r="P6" s="35"/>
      <c r="Q6" s="36"/>
    </row>
    <row r="7" spans="1:18" ht="15" customHeight="1" x14ac:dyDescent="0.25">
      <c r="B7" s="30" t="s">
        <v>34</v>
      </c>
      <c r="C7" s="28">
        <v>-3.6</v>
      </c>
      <c r="D7" s="28">
        <v>-4.9000000000000004</v>
      </c>
      <c r="E7" s="28">
        <v>8.4</v>
      </c>
      <c r="F7" s="28">
        <v>10.4</v>
      </c>
      <c r="G7" s="28">
        <v>15.7</v>
      </c>
      <c r="H7" s="28">
        <v>9.9</v>
      </c>
      <c r="I7" s="28">
        <v>6.5</v>
      </c>
      <c r="J7" s="28">
        <v>1.4</v>
      </c>
      <c r="K7" s="28">
        <v>-4</v>
      </c>
      <c r="L7" s="28">
        <v>-11.1</v>
      </c>
      <c r="M7" s="28">
        <v>-13</v>
      </c>
      <c r="N7" s="28">
        <v>21.1</v>
      </c>
      <c r="O7" s="28">
        <v>26.5</v>
      </c>
      <c r="P7" s="29" t="s">
        <v>14</v>
      </c>
      <c r="Q7" s="29" t="s">
        <v>43</v>
      </c>
    </row>
    <row r="8" spans="1:18" s="45" customFormat="1" ht="15" customHeight="1" x14ac:dyDescent="0.25">
      <c r="A8" s="42"/>
      <c r="B8" s="51" t="s">
        <v>449</v>
      </c>
      <c r="C8" s="43">
        <v>-0.1</v>
      </c>
      <c r="D8" s="43">
        <v>-0.2</v>
      </c>
      <c r="E8" s="43">
        <v>0.3</v>
      </c>
      <c r="F8" s="43">
        <v>0.3</v>
      </c>
      <c r="G8" s="43">
        <v>0.4</v>
      </c>
      <c r="H8" s="43">
        <v>0.3</v>
      </c>
      <c r="I8" s="43">
        <v>0.2</v>
      </c>
      <c r="J8" s="43" t="s">
        <v>12</v>
      </c>
      <c r="K8" s="43">
        <v>-0.1</v>
      </c>
      <c r="L8" s="43">
        <v>-0.2</v>
      </c>
      <c r="M8" s="43">
        <v>-0.3</v>
      </c>
      <c r="N8" s="57"/>
      <c r="O8" s="57"/>
      <c r="P8" s="46"/>
      <c r="Q8" s="46"/>
    </row>
    <row r="9" spans="1:18" ht="15" customHeight="1" x14ac:dyDescent="0.25">
      <c r="B9" s="30" t="s">
        <v>615</v>
      </c>
      <c r="C9" s="28" t="s">
        <v>463</v>
      </c>
      <c r="D9" s="28" t="s">
        <v>463</v>
      </c>
      <c r="E9" s="28" t="s">
        <v>463</v>
      </c>
      <c r="F9" s="28" t="s">
        <v>463</v>
      </c>
      <c r="G9" s="28">
        <v>-0.2</v>
      </c>
      <c r="H9" s="28">
        <v>-7.6</v>
      </c>
      <c r="I9" s="28">
        <v>-14.3</v>
      </c>
      <c r="J9" s="28">
        <v>-23.2</v>
      </c>
      <c r="K9" s="28">
        <v>-33.299999999999997</v>
      </c>
      <c r="L9" s="28">
        <v>-43.1</v>
      </c>
      <c r="M9" s="28">
        <v>-56.5</v>
      </c>
      <c r="N9" s="28" t="s">
        <v>463</v>
      </c>
      <c r="O9" s="28">
        <v>-178.3</v>
      </c>
      <c r="P9" s="29" t="s">
        <v>15</v>
      </c>
      <c r="Q9" s="29" t="s">
        <v>36</v>
      </c>
    </row>
    <row r="10" spans="1:18" s="45" customFormat="1" ht="15" customHeight="1" x14ac:dyDescent="0.25">
      <c r="A10" s="42"/>
      <c r="B10" s="51" t="s">
        <v>449</v>
      </c>
      <c r="C10" s="43" t="s">
        <v>463</v>
      </c>
      <c r="D10" s="43" t="s">
        <v>463</v>
      </c>
      <c r="E10" s="43" t="s">
        <v>463</v>
      </c>
      <c r="F10" s="43" t="s">
        <v>463</v>
      </c>
      <c r="G10" s="43" t="s">
        <v>12</v>
      </c>
      <c r="H10" s="43">
        <v>-0.2</v>
      </c>
      <c r="I10" s="43">
        <v>-0.4</v>
      </c>
      <c r="J10" s="43">
        <v>-0.6</v>
      </c>
      <c r="K10" s="43">
        <v>-0.8</v>
      </c>
      <c r="L10" s="43">
        <v>-1</v>
      </c>
      <c r="M10" s="43">
        <v>-1.2</v>
      </c>
      <c r="N10" s="57"/>
      <c r="O10" s="57"/>
      <c r="P10" s="46"/>
      <c r="Q10" s="47"/>
    </row>
    <row r="11" spans="1:18" ht="15" customHeight="1" x14ac:dyDescent="0.25">
      <c r="B11" s="30" t="s">
        <v>464</v>
      </c>
      <c r="C11" s="28">
        <v>-3.6</v>
      </c>
      <c r="D11" s="28">
        <v>-4.9000000000000004</v>
      </c>
      <c r="E11" s="28">
        <v>8.4</v>
      </c>
      <c r="F11" s="28">
        <v>10.4</v>
      </c>
      <c r="G11" s="28">
        <v>15.4</v>
      </c>
      <c r="H11" s="28">
        <v>2.2999999999999998</v>
      </c>
      <c r="I11" s="28">
        <v>-7.8</v>
      </c>
      <c r="J11" s="28">
        <v>-21.7</v>
      </c>
      <c r="K11" s="28">
        <v>-37.299999999999997</v>
      </c>
      <c r="L11" s="28">
        <v>-54.2</v>
      </c>
      <c r="M11" s="28">
        <v>-69.599999999999994</v>
      </c>
      <c r="N11" s="28">
        <v>21.1</v>
      </c>
      <c r="O11" s="28">
        <v>-151.80000000000001</v>
      </c>
      <c r="P11" s="29" t="s">
        <v>19</v>
      </c>
      <c r="Q11" s="29" t="s">
        <v>452</v>
      </c>
    </row>
    <row r="12" spans="1:18" s="45" customFormat="1" ht="15" customHeight="1" x14ac:dyDescent="0.25">
      <c r="A12" s="42"/>
      <c r="B12" s="51" t="s">
        <v>449</v>
      </c>
      <c r="C12" s="43">
        <v>-0.1</v>
      </c>
      <c r="D12" s="43">
        <v>-0.2</v>
      </c>
      <c r="E12" s="43">
        <v>0.3</v>
      </c>
      <c r="F12" s="43">
        <v>0.3</v>
      </c>
      <c r="G12" s="43">
        <v>0.4</v>
      </c>
      <c r="H12" s="43">
        <v>0.1</v>
      </c>
      <c r="I12" s="43">
        <v>-0.2</v>
      </c>
      <c r="J12" s="43">
        <v>-0.5</v>
      </c>
      <c r="K12" s="43">
        <v>-0.9</v>
      </c>
      <c r="L12" s="43">
        <v>-1.2</v>
      </c>
      <c r="M12" s="43">
        <v>-1.5</v>
      </c>
      <c r="N12" s="57"/>
      <c r="O12" s="57"/>
      <c r="P12" s="48"/>
      <c r="Q12" s="49"/>
    </row>
    <row r="13" spans="1:18" ht="15" customHeight="1" x14ac:dyDescent="0.25">
      <c r="B13" s="30" t="s">
        <v>44</v>
      </c>
      <c r="C13" s="28">
        <v>-47.8</v>
      </c>
      <c r="D13" s="28">
        <v>-37</v>
      </c>
      <c r="E13" s="28">
        <v>-31</v>
      </c>
      <c r="F13" s="28">
        <v>-26.8</v>
      </c>
      <c r="G13" s="28">
        <v>-28</v>
      </c>
      <c r="H13" s="28">
        <v>-34.299999999999997</v>
      </c>
      <c r="I13" s="28">
        <v>-41.1</v>
      </c>
      <c r="J13" s="28">
        <v>-54.4</v>
      </c>
      <c r="K13" s="28">
        <v>-58.2</v>
      </c>
      <c r="L13" s="28">
        <v>-65.3</v>
      </c>
      <c r="M13" s="28">
        <v>-67.3</v>
      </c>
      <c r="N13" s="28">
        <v>-131.9</v>
      </c>
      <c r="O13" s="28">
        <v>-480.5</v>
      </c>
      <c r="P13" s="29" t="s">
        <v>21</v>
      </c>
      <c r="Q13" s="29" t="s">
        <v>453</v>
      </c>
    </row>
    <row r="14" spans="1:18" s="50" customFormat="1" ht="15" customHeight="1" x14ac:dyDescent="0.25">
      <c r="A14" s="42"/>
      <c r="B14" s="51" t="s">
        <v>449</v>
      </c>
      <c r="C14" s="43">
        <v>-1.7</v>
      </c>
      <c r="D14" s="43">
        <v>-1.2</v>
      </c>
      <c r="E14" s="43">
        <v>-1</v>
      </c>
      <c r="F14" s="43">
        <v>-0.8</v>
      </c>
      <c r="G14" s="43">
        <v>-0.8</v>
      </c>
      <c r="H14" s="43">
        <v>-0.9</v>
      </c>
      <c r="I14" s="43">
        <v>-1.1000000000000001</v>
      </c>
      <c r="J14" s="43">
        <v>-1.3</v>
      </c>
      <c r="K14" s="43">
        <v>-1.4</v>
      </c>
      <c r="L14" s="43">
        <v>-1.5</v>
      </c>
      <c r="M14" s="43">
        <v>-1.4</v>
      </c>
      <c r="N14" s="57"/>
      <c r="O14" s="57"/>
      <c r="P14" s="44"/>
      <c r="Q14" s="44"/>
      <c r="R14" s="45"/>
    </row>
    <row r="15" spans="1:18" s="9" customFormat="1" ht="15" customHeight="1" x14ac:dyDescent="0.25">
      <c r="A15" s="8"/>
      <c r="B15" s="14"/>
      <c r="C15" s="16"/>
      <c r="D15" s="16"/>
      <c r="E15" s="16"/>
      <c r="F15" s="16"/>
      <c r="G15" s="16"/>
      <c r="H15" s="16"/>
      <c r="I15" s="16"/>
      <c r="J15" s="16"/>
      <c r="K15" s="16"/>
      <c r="L15" s="16"/>
      <c r="M15" s="16"/>
      <c r="N15" s="16"/>
      <c r="O15" s="16"/>
      <c r="P15" s="17"/>
      <c r="Q15" s="17"/>
    </row>
    <row r="16" spans="1:18" s="9" customFormat="1" ht="15" customHeight="1" x14ac:dyDescent="0.25">
      <c r="A16" s="8"/>
      <c r="B16" s="14" t="s">
        <v>23</v>
      </c>
      <c r="C16" s="16"/>
      <c r="D16" s="16"/>
      <c r="E16" s="16"/>
      <c r="F16" s="16"/>
      <c r="G16" s="16"/>
      <c r="H16" s="16"/>
      <c r="I16" s="16"/>
      <c r="J16" s="16"/>
      <c r="K16" s="16"/>
      <c r="L16" s="16"/>
      <c r="M16" s="16"/>
      <c r="N16" s="16"/>
      <c r="O16" s="16"/>
      <c r="P16" s="17"/>
      <c r="Q16" s="17"/>
    </row>
    <row r="17" spans="1:24" s="9" customFormat="1" ht="15" customHeight="1" x14ac:dyDescent="0.25">
      <c r="A17" s="8"/>
      <c r="B17" s="10" t="s">
        <v>24</v>
      </c>
      <c r="C17" s="16"/>
      <c r="D17" s="16"/>
      <c r="E17" s="16"/>
      <c r="F17" s="16"/>
      <c r="G17" s="16"/>
      <c r="H17" s="16"/>
      <c r="I17" s="16"/>
      <c r="J17" s="16"/>
      <c r="K17" s="16"/>
      <c r="L17" s="16"/>
      <c r="M17" s="16"/>
      <c r="N17" s="16"/>
      <c r="O17" s="16"/>
      <c r="P17" s="17"/>
      <c r="Q17" s="17"/>
    </row>
    <row r="18" spans="1:24" s="9" customFormat="1" ht="15" customHeight="1" x14ac:dyDescent="0.25">
      <c r="A18" s="8"/>
      <c r="B18" s="10" t="s">
        <v>25</v>
      </c>
      <c r="C18" s="16"/>
      <c r="D18" s="16"/>
      <c r="E18" s="16"/>
      <c r="F18" s="16"/>
      <c r="G18" s="16"/>
      <c r="H18" s="16"/>
      <c r="I18" s="16"/>
      <c r="J18" s="16"/>
      <c r="K18" s="16"/>
      <c r="L18" s="16"/>
      <c r="M18" s="16"/>
      <c r="N18" s="16"/>
      <c r="O18" s="16"/>
      <c r="P18" s="17"/>
      <c r="Q18" s="17"/>
    </row>
    <row r="19" spans="1:24" s="9" customFormat="1" ht="15" customHeight="1" x14ac:dyDescent="0.25">
      <c r="A19" s="8"/>
      <c r="B19" s="10" t="s">
        <v>26</v>
      </c>
      <c r="C19" s="16"/>
      <c r="D19" s="16"/>
      <c r="E19" s="16"/>
      <c r="F19" s="16"/>
      <c r="G19" s="16"/>
      <c r="H19" s="16"/>
      <c r="I19" s="16"/>
      <c r="J19" s="16"/>
      <c r="K19" s="16"/>
      <c r="L19" s="16"/>
      <c r="M19" s="16"/>
      <c r="N19" s="16"/>
      <c r="O19" s="16"/>
      <c r="P19" s="17"/>
      <c r="Q19" s="17"/>
    </row>
    <row r="20" spans="1:24" s="9" customFormat="1" ht="15" customHeight="1" x14ac:dyDescent="0.25">
      <c r="A20" s="8"/>
      <c r="B20" s="10" t="s">
        <v>27</v>
      </c>
      <c r="C20" s="16"/>
      <c r="D20" s="16"/>
      <c r="E20" s="16"/>
      <c r="F20" s="16"/>
      <c r="G20" s="16"/>
      <c r="H20" s="16"/>
      <c r="I20" s="16"/>
      <c r="J20" s="16"/>
      <c r="K20" s="16"/>
      <c r="L20" s="16"/>
      <c r="M20" s="16"/>
      <c r="N20" s="16"/>
      <c r="O20" s="16"/>
      <c r="P20" s="17"/>
      <c r="Q20" s="17"/>
    </row>
    <row r="21" spans="1:24" s="9" customFormat="1" ht="15" customHeight="1" x14ac:dyDescent="0.25">
      <c r="A21" s="8"/>
      <c r="B21" s="71" t="s">
        <v>40</v>
      </c>
      <c r="C21" s="76"/>
      <c r="D21" s="76"/>
      <c r="E21" s="76"/>
      <c r="F21" s="76"/>
      <c r="G21" s="76"/>
      <c r="H21" s="76"/>
      <c r="I21" s="76"/>
      <c r="J21" s="76"/>
      <c r="K21" s="76"/>
      <c r="L21" s="76"/>
      <c r="M21" s="76"/>
      <c r="N21" s="76"/>
      <c r="O21" s="76"/>
      <c r="P21" s="77"/>
      <c r="Q21" s="77"/>
    </row>
    <row r="22" spans="1:24" ht="15" customHeight="1" x14ac:dyDescent="0.25">
      <c r="B22" s="10" t="s">
        <v>41</v>
      </c>
      <c r="R22" s="9"/>
      <c r="S22" s="9"/>
      <c r="T22" s="9"/>
      <c r="U22" s="9"/>
      <c r="V22" s="9"/>
      <c r="W22" s="9"/>
      <c r="X22" s="9"/>
    </row>
    <row r="23" spans="1:24" ht="15" customHeight="1" x14ac:dyDescent="0.25">
      <c r="B23" s="10" t="s">
        <v>465</v>
      </c>
      <c r="C23" s="78"/>
      <c r="D23" s="78"/>
      <c r="E23" s="78"/>
      <c r="F23" s="78"/>
      <c r="G23" s="78"/>
      <c r="H23" s="78"/>
      <c r="I23" s="78"/>
      <c r="J23" s="78"/>
      <c r="K23" s="78"/>
      <c r="L23" s="78"/>
      <c r="M23" s="78"/>
      <c r="N23" s="78"/>
      <c r="O23" s="78"/>
      <c r="P23" s="78"/>
      <c r="Q23" s="78"/>
      <c r="R23" s="9"/>
      <c r="S23" s="9"/>
      <c r="T23" s="9"/>
      <c r="U23" s="9"/>
      <c r="V23" s="9"/>
      <c r="W23" s="9"/>
      <c r="X23" s="9"/>
    </row>
    <row r="24" spans="1:24" ht="15" customHeight="1" x14ac:dyDescent="0.25">
      <c r="R24" s="9"/>
      <c r="S24" s="9"/>
      <c r="T24" s="9"/>
      <c r="U24" s="9"/>
      <c r="V24" s="9"/>
      <c r="W24" s="9"/>
      <c r="X24" s="9"/>
    </row>
    <row r="25" spans="1:24" ht="15" customHeight="1" x14ac:dyDescent="0.25">
      <c r="B25" s="15" t="s">
        <v>30</v>
      </c>
      <c r="R25" s="9"/>
      <c r="S25" s="9"/>
      <c r="T25" s="9"/>
      <c r="U25" s="9"/>
      <c r="V25" s="9"/>
      <c r="W25" s="9"/>
      <c r="X25" s="9"/>
    </row>
    <row r="26" spans="1:24" ht="15" customHeight="1" x14ac:dyDescent="0.25">
      <c r="R26" s="9"/>
      <c r="S26" s="9"/>
      <c r="T26" s="9"/>
      <c r="U26" s="9"/>
      <c r="V26" s="9"/>
      <c r="W26" s="9"/>
      <c r="X26" s="9"/>
    </row>
    <row r="27" spans="1:24" ht="12" customHeight="1" x14ac:dyDescent="0.25">
      <c r="R27" s="9"/>
      <c r="S27" s="9"/>
      <c r="T27" s="9"/>
      <c r="U27" s="9"/>
      <c r="V27" s="9"/>
      <c r="W27" s="9"/>
      <c r="X27" s="9"/>
    </row>
    <row r="28" spans="1:24" ht="12" customHeight="1" x14ac:dyDescent="0.25"/>
    <row r="29" spans="1:24" ht="12" customHeight="1" x14ac:dyDescent="0.25"/>
    <row r="30" spans="1:24" ht="12" customHeight="1" x14ac:dyDescent="0.25"/>
    <row r="31" spans="1:24" ht="12" customHeight="1" x14ac:dyDescent="0.25"/>
    <row r="32" spans="1:24" ht="12" customHeight="1" x14ac:dyDescent="0.25"/>
    <row r="33" ht="12" customHeight="1" x14ac:dyDescent="0.25"/>
    <row r="34" ht="12" customHeight="1" x14ac:dyDescent="0.25"/>
    <row r="35" ht="12" customHeight="1" x14ac:dyDescent="0.25"/>
  </sheetData>
  <hyperlinks>
    <hyperlink ref="B25" location="Contents!A1" display="Back to contents" xr:uid="{3B89534C-537B-4441-BDC3-87BF30E101C8}"/>
  </hyperlinks>
  <pageMargins left="0.25" right="0.25"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5ECB2-FEF0-4225-88E8-4AAC5060AE30}">
  <sheetPr>
    <tabColor theme="0" tint="-4.9989318521683403E-2"/>
  </sheetPr>
  <dimension ref="A2:X35"/>
  <sheetViews>
    <sheetView showGridLines="0" zoomScaleNormal="100" workbookViewId="0"/>
  </sheetViews>
  <sheetFormatPr defaultColWidth="8.85546875" defaultRowHeight="12" x14ac:dyDescent="0.25"/>
  <cols>
    <col min="1" max="1" width="3.7109375" style="8" customWidth="1"/>
    <col min="2" max="2" width="60.7109375" style="8" customWidth="1"/>
    <col min="3" max="13" width="8.7109375" style="16" customWidth="1"/>
    <col min="14" max="15" width="10.7109375" style="16" customWidth="1"/>
    <col min="16" max="16" width="10.7109375" style="17" customWidth="1"/>
    <col min="17" max="17" width="20.5703125" style="17" customWidth="1"/>
    <col min="18" max="16384" width="8.85546875" style="11"/>
  </cols>
  <sheetData>
    <row r="2" spans="1:18" ht="24" customHeight="1" x14ac:dyDescent="0.25">
      <c r="B2" s="18" t="s">
        <v>388</v>
      </c>
    </row>
    <row r="3" spans="1:18" s="13" customFormat="1" ht="24" customHeight="1" x14ac:dyDescent="0.25">
      <c r="A3" s="12"/>
      <c r="B3" s="37" t="s">
        <v>31</v>
      </c>
      <c r="C3" s="54" t="s">
        <v>471</v>
      </c>
      <c r="D3" s="54" t="s">
        <v>618</v>
      </c>
      <c r="E3" s="54" t="s">
        <v>619</v>
      </c>
      <c r="F3" s="54" t="s">
        <v>620</v>
      </c>
      <c r="G3" s="54" t="s">
        <v>621</v>
      </c>
      <c r="H3" s="54" t="s">
        <v>622</v>
      </c>
      <c r="I3" s="54" t="s">
        <v>623</v>
      </c>
      <c r="J3" s="54" t="s">
        <v>624</v>
      </c>
      <c r="K3" s="54" t="s">
        <v>625</v>
      </c>
      <c r="L3" s="54" t="s">
        <v>626</v>
      </c>
      <c r="M3" s="54" t="s">
        <v>627</v>
      </c>
      <c r="N3" s="54" t="s">
        <v>628</v>
      </c>
      <c r="O3" s="138" t="s">
        <v>629</v>
      </c>
      <c r="P3" s="22" t="s">
        <v>6</v>
      </c>
      <c r="Q3" s="38" t="s">
        <v>7</v>
      </c>
    </row>
    <row r="4" spans="1:18" ht="15" customHeight="1" x14ac:dyDescent="0.25">
      <c r="B4" s="27" t="s">
        <v>45</v>
      </c>
      <c r="C4" s="28">
        <v>-65.2</v>
      </c>
      <c r="D4" s="28">
        <v>-58.1</v>
      </c>
      <c r="E4" s="28">
        <v>-57</v>
      </c>
      <c r="F4" s="28">
        <v>-56</v>
      </c>
      <c r="G4" s="28">
        <v>-54</v>
      </c>
      <c r="H4" s="28">
        <v>-44.3</v>
      </c>
      <c r="I4" s="28">
        <v>-41.5</v>
      </c>
      <c r="J4" s="28">
        <v>-40.299999999999997</v>
      </c>
      <c r="K4" s="28">
        <v>-31.3</v>
      </c>
      <c r="L4" s="28">
        <v>-22.6</v>
      </c>
      <c r="M4" s="28">
        <v>-11.3</v>
      </c>
      <c r="N4" s="28">
        <v>-236.4</v>
      </c>
      <c r="O4" s="28">
        <v>-481.8</v>
      </c>
      <c r="P4" s="29" t="s">
        <v>9</v>
      </c>
      <c r="Q4" s="29" t="s">
        <v>33</v>
      </c>
    </row>
    <row r="5" spans="1:18" s="45" customFormat="1" ht="15" customHeight="1" x14ac:dyDescent="0.25">
      <c r="A5" s="42"/>
      <c r="B5" s="51" t="s">
        <v>449</v>
      </c>
      <c r="C5" s="43">
        <v>-2.2999999999999998</v>
      </c>
      <c r="D5" s="43">
        <v>-1.9</v>
      </c>
      <c r="E5" s="43">
        <v>-1.8</v>
      </c>
      <c r="F5" s="43">
        <v>-1.7</v>
      </c>
      <c r="G5" s="43">
        <v>-1.5</v>
      </c>
      <c r="H5" s="43">
        <v>-1.2</v>
      </c>
      <c r="I5" s="43">
        <v>-1.1000000000000001</v>
      </c>
      <c r="J5" s="43">
        <v>-1</v>
      </c>
      <c r="K5" s="43">
        <v>-0.7</v>
      </c>
      <c r="L5" s="43">
        <v>-0.5</v>
      </c>
      <c r="M5" s="43">
        <v>-0.2</v>
      </c>
      <c r="N5" s="57"/>
      <c r="O5" s="57"/>
      <c r="P5" s="44"/>
      <c r="Q5" s="44"/>
    </row>
    <row r="6" spans="1:18" ht="15" customHeight="1" x14ac:dyDescent="0.25">
      <c r="B6" s="33" t="s">
        <v>92</v>
      </c>
      <c r="C6" s="26"/>
      <c r="D6" s="26"/>
      <c r="E6" s="26"/>
      <c r="F6" s="26"/>
      <c r="G6" s="26"/>
      <c r="H6" s="26"/>
      <c r="I6" s="26"/>
      <c r="J6" s="26"/>
      <c r="K6" s="26"/>
      <c r="L6" s="26"/>
      <c r="M6" s="26"/>
      <c r="N6" s="26"/>
      <c r="O6" s="26"/>
      <c r="P6" s="35"/>
      <c r="Q6" s="36"/>
    </row>
    <row r="7" spans="1:18" ht="15" customHeight="1" x14ac:dyDescent="0.25">
      <c r="B7" s="30" t="s">
        <v>34</v>
      </c>
      <c r="C7" s="28">
        <v>-1.7</v>
      </c>
      <c r="D7" s="28">
        <v>-0.6</v>
      </c>
      <c r="E7" s="28">
        <v>12.2</v>
      </c>
      <c r="F7" s="28">
        <v>14.3</v>
      </c>
      <c r="G7" s="28">
        <v>16.7</v>
      </c>
      <c r="H7" s="28">
        <v>6.7</v>
      </c>
      <c r="I7" s="28">
        <v>2</v>
      </c>
      <c r="J7" s="28">
        <v>-3.7</v>
      </c>
      <c r="K7" s="28">
        <v>-10.1</v>
      </c>
      <c r="L7" s="28">
        <v>-19.2</v>
      </c>
      <c r="M7" s="28">
        <v>-23</v>
      </c>
      <c r="N7" s="28">
        <v>24.9</v>
      </c>
      <c r="O7" s="28">
        <v>-5.7</v>
      </c>
      <c r="P7" s="29" t="s">
        <v>14</v>
      </c>
      <c r="Q7" s="29" t="s">
        <v>46</v>
      </c>
    </row>
    <row r="8" spans="1:18" s="45" customFormat="1" ht="15" customHeight="1" x14ac:dyDescent="0.25">
      <c r="A8" s="42"/>
      <c r="B8" s="51" t="s">
        <v>449</v>
      </c>
      <c r="C8" s="43">
        <v>-0.1</v>
      </c>
      <c r="D8" s="43" t="s">
        <v>12</v>
      </c>
      <c r="E8" s="43">
        <v>0.4</v>
      </c>
      <c r="F8" s="43">
        <v>0.4</v>
      </c>
      <c r="G8" s="43">
        <v>0.5</v>
      </c>
      <c r="H8" s="43">
        <v>0.2</v>
      </c>
      <c r="I8" s="43">
        <v>0.1</v>
      </c>
      <c r="J8" s="43">
        <v>-0.1</v>
      </c>
      <c r="K8" s="43">
        <v>-0.2</v>
      </c>
      <c r="L8" s="43">
        <v>-0.4</v>
      </c>
      <c r="M8" s="43">
        <v>-0.5</v>
      </c>
      <c r="N8" s="57"/>
      <c r="O8" s="57"/>
      <c r="P8" s="46"/>
      <c r="Q8" s="46"/>
    </row>
    <row r="9" spans="1:18" ht="15" customHeight="1" x14ac:dyDescent="0.25">
      <c r="B9" s="30" t="s">
        <v>615</v>
      </c>
      <c r="C9" s="28" t="s">
        <v>463</v>
      </c>
      <c r="D9" s="28" t="s">
        <v>463</v>
      </c>
      <c r="E9" s="28" t="s">
        <v>463</v>
      </c>
      <c r="F9" s="28" t="s">
        <v>463</v>
      </c>
      <c r="G9" s="28" t="s">
        <v>463</v>
      </c>
      <c r="H9" s="28">
        <v>-3.4</v>
      </c>
      <c r="I9" s="28">
        <v>-9.3000000000000007</v>
      </c>
      <c r="J9" s="28">
        <v>-17.2</v>
      </c>
      <c r="K9" s="28">
        <v>-26.8</v>
      </c>
      <c r="L9" s="28">
        <v>-36.200000000000003</v>
      </c>
      <c r="M9" s="28">
        <v>-48.9</v>
      </c>
      <c r="N9" s="28" t="s">
        <v>463</v>
      </c>
      <c r="O9" s="28">
        <v>-141.80000000000001</v>
      </c>
      <c r="P9" s="29" t="s">
        <v>15</v>
      </c>
      <c r="Q9" s="29" t="s">
        <v>36</v>
      </c>
    </row>
    <row r="10" spans="1:18" s="45" customFormat="1" ht="15" customHeight="1" x14ac:dyDescent="0.25">
      <c r="A10" s="42"/>
      <c r="B10" s="51" t="s">
        <v>449</v>
      </c>
      <c r="C10" s="43" t="s">
        <v>463</v>
      </c>
      <c r="D10" s="43" t="s">
        <v>463</v>
      </c>
      <c r="E10" s="43" t="s">
        <v>463</v>
      </c>
      <c r="F10" s="43" t="s">
        <v>463</v>
      </c>
      <c r="G10" s="43" t="s">
        <v>463</v>
      </c>
      <c r="H10" s="43">
        <v>-0.1</v>
      </c>
      <c r="I10" s="43">
        <v>-0.2</v>
      </c>
      <c r="J10" s="43">
        <v>-0.4</v>
      </c>
      <c r="K10" s="43">
        <v>-0.6</v>
      </c>
      <c r="L10" s="43">
        <v>-0.8</v>
      </c>
      <c r="M10" s="43">
        <v>-1</v>
      </c>
      <c r="N10" s="57"/>
      <c r="O10" s="57"/>
      <c r="P10" s="46"/>
      <c r="Q10" s="47"/>
    </row>
    <row r="11" spans="1:18" ht="15" customHeight="1" x14ac:dyDescent="0.25">
      <c r="B11" s="30" t="s">
        <v>464</v>
      </c>
      <c r="C11" s="28">
        <v>-1.7</v>
      </c>
      <c r="D11" s="28">
        <v>-0.6</v>
      </c>
      <c r="E11" s="28">
        <v>12.2</v>
      </c>
      <c r="F11" s="28">
        <v>14.3</v>
      </c>
      <c r="G11" s="28">
        <v>16.7</v>
      </c>
      <c r="H11" s="28">
        <v>3.3</v>
      </c>
      <c r="I11" s="28">
        <v>-7.3</v>
      </c>
      <c r="J11" s="28">
        <v>-20.9</v>
      </c>
      <c r="K11" s="28">
        <v>-36.9</v>
      </c>
      <c r="L11" s="28">
        <v>-55.4</v>
      </c>
      <c r="M11" s="28">
        <v>-71.900000000000006</v>
      </c>
      <c r="N11" s="28">
        <v>24.9</v>
      </c>
      <c r="O11" s="28">
        <v>-147.6</v>
      </c>
      <c r="P11" s="29" t="s">
        <v>19</v>
      </c>
      <c r="Q11" s="29" t="s">
        <v>452</v>
      </c>
    </row>
    <row r="12" spans="1:18" s="45" customFormat="1" ht="15" customHeight="1" x14ac:dyDescent="0.25">
      <c r="A12" s="42"/>
      <c r="B12" s="51" t="s">
        <v>449</v>
      </c>
      <c r="C12" s="43">
        <v>-0.1</v>
      </c>
      <c r="D12" s="43" t="s">
        <v>12</v>
      </c>
      <c r="E12" s="43">
        <v>0.4</v>
      </c>
      <c r="F12" s="43">
        <v>0.4</v>
      </c>
      <c r="G12" s="43">
        <v>0.5</v>
      </c>
      <c r="H12" s="43">
        <v>0.1</v>
      </c>
      <c r="I12" s="43">
        <v>-0.2</v>
      </c>
      <c r="J12" s="43">
        <v>-0.5</v>
      </c>
      <c r="K12" s="43">
        <v>-0.9</v>
      </c>
      <c r="L12" s="43">
        <v>-1.2</v>
      </c>
      <c r="M12" s="43">
        <v>-1.5</v>
      </c>
      <c r="N12" s="57"/>
      <c r="O12" s="57"/>
      <c r="P12" s="48"/>
      <c r="Q12" s="49"/>
    </row>
    <row r="13" spans="1:18" ht="15" customHeight="1" x14ac:dyDescent="0.25">
      <c r="B13" s="30" t="s">
        <v>47</v>
      </c>
      <c r="C13" s="28">
        <v>-67</v>
      </c>
      <c r="D13" s="28">
        <v>-58.7</v>
      </c>
      <c r="E13" s="28">
        <v>-44.9</v>
      </c>
      <c r="F13" s="28">
        <v>-41.7</v>
      </c>
      <c r="G13" s="28">
        <v>-37.299999999999997</v>
      </c>
      <c r="H13" s="28">
        <v>-41.1</v>
      </c>
      <c r="I13" s="28">
        <v>-48.7</v>
      </c>
      <c r="J13" s="28">
        <v>-61.3</v>
      </c>
      <c r="K13" s="28">
        <v>-68.2</v>
      </c>
      <c r="L13" s="28">
        <v>-78</v>
      </c>
      <c r="M13" s="28">
        <v>-83.1</v>
      </c>
      <c r="N13" s="28">
        <v>-211.5</v>
      </c>
      <c r="O13" s="28">
        <v>-629.29999999999995</v>
      </c>
      <c r="P13" s="29" t="s">
        <v>21</v>
      </c>
      <c r="Q13" s="29" t="s">
        <v>453</v>
      </c>
    </row>
    <row r="14" spans="1:18" s="50" customFormat="1" ht="15" customHeight="1" x14ac:dyDescent="0.25">
      <c r="A14" s="42"/>
      <c r="B14" s="51" t="s">
        <v>449</v>
      </c>
      <c r="C14" s="43">
        <v>-2.2999999999999998</v>
      </c>
      <c r="D14" s="43">
        <v>-2</v>
      </c>
      <c r="E14" s="43">
        <v>-1.4</v>
      </c>
      <c r="F14" s="43">
        <v>-1.3</v>
      </c>
      <c r="G14" s="43">
        <v>-1.1000000000000001</v>
      </c>
      <c r="H14" s="43">
        <v>-1.1000000000000001</v>
      </c>
      <c r="I14" s="43">
        <v>-1.3</v>
      </c>
      <c r="J14" s="43">
        <v>-1.5</v>
      </c>
      <c r="K14" s="43">
        <v>-1.6</v>
      </c>
      <c r="L14" s="43">
        <v>-1.7</v>
      </c>
      <c r="M14" s="43">
        <v>-1.8</v>
      </c>
      <c r="N14" s="57"/>
      <c r="O14" s="57"/>
      <c r="P14" s="44"/>
      <c r="Q14" s="44"/>
      <c r="R14" s="45"/>
    </row>
    <row r="15" spans="1:18" s="9" customFormat="1" ht="15" customHeight="1" x14ac:dyDescent="0.25">
      <c r="A15" s="8"/>
      <c r="B15" s="14"/>
      <c r="C15" s="16"/>
      <c r="D15" s="16"/>
      <c r="E15" s="16"/>
      <c r="F15" s="16"/>
      <c r="G15" s="16"/>
      <c r="H15" s="16"/>
      <c r="I15" s="16"/>
      <c r="J15" s="16"/>
      <c r="K15" s="16"/>
      <c r="L15" s="16"/>
      <c r="M15" s="16"/>
      <c r="N15" s="16"/>
      <c r="O15" s="16"/>
      <c r="P15" s="17"/>
      <c r="Q15" s="17"/>
    </row>
    <row r="16" spans="1:18" s="9" customFormat="1" ht="15" customHeight="1" x14ac:dyDescent="0.25">
      <c r="A16" s="8"/>
      <c r="B16" s="14" t="s">
        <v>23</v>
      </c>
      <c r="C16" s="16"/>
      <c r="D16" s="16"/>
      <c r="E16" s="16"/>
      <c r="F16" s="16"/>
      <c r="G16" s="16"/>
      <c r="H16" s="16"/>
      <c r="I16" s="16"/>
      <c r="J16" s="16"/>
      <c r="K16" s="16"/>
      <c r="L16" s="16"/>
      <c r="M16" s="16"/>
      <c r="N16" s="16"/>
      <c r="O16" s="16"/>
      <c r="P16" s="17"/>
      <c r="Q16" s="17"/>
    </row>
    <row r="17" spans="1:24" s="9" customFormat="1" ht="15" customHeight="1" x14ac:dyDescent="0.25">
      <c r="A17" s="8"/>
      <c r="B17" s="10" t="s">
        <v>24</v>
      </c>
      <c r="C17" s="16"/>
      <c r="D17" s="16"/>
      <c r="E17" s="16"/>
      <c r="F17" s="16"/>
      <c r="G17" s="16"/>
      <c r="H17" s="16"/>
      <c r="I17" s="16"/>
      <c r="J17" s="16"/>
      <c r="K17" s="16"/>
      <c r="L17" s="16"/>
      <c r="M17" s="16"/>
      <c r="N17" s="16"/>
      <c r="O17" s="16"/>
      <c r="P17" s="17"/>
      <c r="Q17" s="17"/>
    </row>
    <row r="18" spans="1:24" s="9" customFormat="1" ht="15" customHeight="1" x14ac:dyDescent="0.25">
      <c r="A18" s="8"/>
      <c r="B18" s="10" t="s">
        <v>25</v>
      </c>
      <c r="C18" s="16"/>
      <c r="D18" s="16"/>
      <c r="E18" s="16"/>
      <c r="F18" s="16"/>
      <c r="G18" s="16"/>
      <c r="H18" s="16"/>
      <c r="I18" s="16"/>
      <c r="J18" s="16"/>
      <c r="K18" s="16"/>
      <c r="L18" s="16"/>
      <c r="M18" s="16"/>
      <c r="N18" s="16"/>
      <c r="O18" s="16"/>
      <c r="P18" s="17"/>
      <c r="Q18" s="17"/>
    </row>
    <row r="19" spans="1:24" s="9" customFormat="1" ht="15" customHeight="1" x14ac:dyDescent="0.25">
      <c r="A19" s="8"/>
      <c r="B19" s="10" t="s">
        <v>26</v>
      </c>
      <c r="C19" s="16"/>
      <c r="D19" s="16"/>
      <c r="E19" s="16"/>
      <c r="F19" s="16"/>
      <c r="G19" s="16"/>
      <c r="H19" s="16"/>
      <c r="I19" s="16"/>
      <c r="J19" s="16"/>
      <c r="K19" s="16"/>
      <c r="L19" s="16"/>
      <c r="M19" s="16"/>
      <c r="N19" s="16"/>
      <c r="O19" s="16"/>
      <c r="P19" s="17"/>
      <c r="Q19" s="17"/>
    </row>
    <row r="20" spans="1:24" s="9" customFormat="1" ht="15" customHeight="1" x14ac:dyDescent="0.25">
      <c r="A20" s="8"/>
      <c r="B20" s="10" t="s">
        <v>27</v>
      </c>
      <c r="C20" s="16"/>
      <c r="D20" s="16"/>
      <c r="E20" s="16"/>
      <c r="F20" s="16"/>
      <c r="G20" s="16"/>
      <c r="H20" s="16"/>
      <c r="I20" s="16"/>
      <c r="J20" s="16"/>
      <c r="K20" s="16"/>
      <c r="L20" s="16"/>
      <c r="M20" s="16"/>
      <c r="N20" s="16"/>
      <c r="O20" s="16"/>
      <c r="P20" s="17"/>
      <c r="Q20" s="17"/>
    </row>
    <row r="21" spans="1:24" s="9" customFormat="1" ht="15" customHeight="1" x14ac:dyDescent="0.25">
      <c r="A21" s="8"/>
      <c r="B21" s="71" t="s">
        <v>40</v>
      </c>
      <c r="C21" s="76"/>
      <c r="D21" s="76"/>
      <c r="E21" s="76"/>
      <c r="F21" s="76"/>
      <c r="G21" s="76"/>
      <c r="H21" s="76"/>
      <c r="I21" s="76"/>
      <c r="J21" s="76"/>
      <c r="K21" s="76"/>
      <c r="L21" s="76"/>
      <c r="M21" s="76"/>
      <c r="N21" s="76"/>
      <c r="O21" s="76"/>
      <c r="P21" s="77"/>
      <c r="Q21" s="77"/>
    </row>
    <row r="22" spans="1:24" ht="15" customHeight="1" x14ac:dyDescent="0.25">
      <c r="B22" s="10" t="s">
        <v>41</v>
      </c>
      <c r="R22" s="9"/>
      <c r="S22" s="9"/>
      <c r="T22" s="9"/>
      <c r="U22" s="9"/>
      <c r="V22" s="9"/>
      <c r="W22" s="9"/>
      <c r="X22" s="9"/>
    </row>
    <row r="23" spans="1:24" ht="15" customHeight="1" x14ac:dyDescent="0.25">
      <c r="B23" s="10" t="s">
        <v>465</v>
      </c>
      <c r="C23" s="78"/>
      <c r="D23" s="78"/>
      <c r="E23" s="78"/>
      <c r="F23" s="78"/>
      <c r="G23" s="78"/>
      <c r="H23" s="78"/>
      <c r="I23" s="78"/>
      <c r="J23" s="78"/>
      <c r="K23" s="78"/>
      <c r="L23" s="78"/>
      <c r="M23" s="78"/>
      <c r="N23" s="78"/>
      <c r="O23" s="78"/>
      <c r="P23" s="78"/>
      <c r="Q23" s="78"/>
      <c r="R23" s="9"/>
      <c r="S23" s="9"/>
      <c r="T23" s="9"/>
      <c r="U23" s="9"/>
      <c r="V23" s="9"/>
      <c r="W23" s="9"/>
      <c r="X23" s="9"/>
    </row>
    <row r="24" spans="1:24" ht="15" customHeight="1" x14ac:dyDescent="0.25">
      <c r="R24" s="9"/>
      <c r="S24" s="9"/>
      <c r="T24" s="9"/>
      <c r="U24" s="9"/>
      <c r="V24" s="9"/>
      <c r="W24" s="9"/>
      <c r="X24" s="9"/>
    </row>
    <row r="25" spans="1:24" ht="15" customHeight="1" x14ac:dyDescent="0.25">
      <c r="B25" s="15" t="s">
        <v>30</v>
      </c>
      <c r="R25" s="9"/>
      <c r="S25" s="9"/>
      <c r="T25" s="9"/>
      <c r="U25" s="9"/>
      <c r="V25" s="9"/>
      <c r="W25" s="9"/>
      <c r="X25" s="9"/>
    </row>
    <row r="26" spans="1:24" ht="15" customHeight="1" x14ac:dyDescent="0.25">
      <c r="R26" s="9"/>
      <c r="S26" s="9"/>
      <c r="T26" s="9"/>
      <c r="U26" s="9"/>
      <c r="V26" s="9"/>
      <c r="W26" s="9"/>
    </row>
    <row r="27" spans="1:24" ht="12" customHeight="1" x14ac:dyDescent="0.25">
      <c r="R27" s="9"/>
      <c r="S27" s="9"/>
      <c r="T27" s="9"/>
      <c r="U27" s="9"/>
      <c r="V27" s="9"/>
      <c r="W27" s="9"/>
    </row>
    <row r="28" spans="1:24" ht="12" customHeight="1" x14ac:dyDescent="0.25">
      <c r="R28" s="9"/>
      <c r="S28" s="9"/>
      <c r="T28" s="9"/>
      <c r="U28" s="9"/>
      <c r="V28" s="9"/>
      <c r="W28" s="9"/>
    </row>
    <row r="29" spans="1:24" ht="12" customHeight="1" x14ac:dyDescent="0.25">
      <c r="R29" s="9"/>
      <c r="S29" s="9"/>
      <c r="T29" s="9"/>
      <c r="U29" s="9"/>
      <c r="V29" s="9"/>
      <c r="W29" s="9"/>
    </row>
    <row r="30" spans="1:24" ht="12" customHeight="1" x14ac:dyDescent="0.25"/>
    <row r="31" spans="1:24" ht="12" customHeight="1" x14ac:dyDescent="0.25"/>
    <row r="32" spans="1:24" ht="12" customHeight="1" x14ac:dyDescent="0.25"/>
    <row r="33" ht="12" customHeight="1" x14ac:dyDescent="0.25"/>
    <row r="34" ht="12" customHeight="1" x14ac:dyDescent="0.25"/>
    <row r="35" ht="12" customHeight="1" x14ac:dyDescent="0.25"/>
  </sheetData>
  <hyperlinks>
    <hyperlink ref="B25" location="Contents!A1" display="Back to contents" xr:uid="{EDA6C7F4-3C61-4772-85CE-39957523A7DC}"/>
  </hyperlinks>
  <pageMargins left="0.25" right="0.25"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1756-223D-4EB4-80B4-801FA6403257}">
  <sheetPr>
    <tabColor theme="0" tint="-4.9989318521683403E-2"/>
  </sheetPr>
  <dimension ref="A2:R42"/>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48</v>
      </c>
    </row>
    <row r="3" spans="1:18" s="13" customFormat="1" ht="24" customHeight="1" x14ac:dyDescent="0.25">
      <c r="A3" s="12"/>
      <c r="B3" s="37" t="s">
        <v>31</v>
      </c>
      <c r="C3" s="54" t="s">
        <v>471</v>
      </c>
      <c r="D3" s="54" t="s">
        <v>618</v>
      </c>
      <c r="E3" s="54" t="s">
        <v>619</v>
      </c>
      <c r="F3" s="54" t="s">
        <v>620</v>
      </c>
      <c r="G3" s="54" t="s">
        <v>621</v>
      </c>
      <c r="H3" s="54" t="s">
        <v>622</v>
      </c>
      <c r="I3" s="54" t="s">
        <v>623</v>
      </c>
      <c r="J3" s="54" t="s">
        <v>624</v>
      </c>
      <c r="K3" s="54" t="s">
        <v>625</v>
      </c>
      <c r="L3" s="54" t="s">
        <v>626</v>
      </c>
      <c r="M3" s="54" t="s">
        <v>627</v>
      </c>
      <c r="N3" s="54" t="s">
        <v>628</v>
      </c>
      <c r="O3" s="138" t="s">
        <v>629</v>
      </c>
      <c r="P3" s="22" t="s">
        <v>6</v>
      </c>
      <c r="Q3" s="38" t="s">
        <v>7</v>
      </c>
    </row>
    <row r="4" spans="1:18" ht="15" customHeight="1" x14ac:dyDescent="0.25">
      <c r="B4" s="27" t="s">
        <v>49</v>
      </c>
      <c r="C4" s="28">
        <v>735.4</v>
      </c>
      <c r="D4" s="28">
        <v>766</v>
      </c>
      <c r="E4" s="28">
        <v>797.4</v>
      </c>
      <c r="F4" s="28">
        <v>840.8</v>
      </c>
      <c r="G4" s="28">
        <v>892.3</v>
      </c>
      <c r="H4" s="28">
        <v>947.1</v>
      </c>
      <c r="I4" s="28">
        <v>1002.7</v>
      </c>
      <c r="J4" s="28">
        <v>1062</v>
      </c>
      <c r="K4" s="28">
        <v>1124.8</v>
      </c>
      <c r="L4" s="28">
        <v>1189.7</v>
      </c>
      <c r="M4" s="28">
        <v>1260.2</v>
      </c>
      <c r="N4" s="28">
        <v>3139.6</v>
      </c>
      <c r="O4" s="28">
        <v>10618.4</v>
      </c>
      <c r="P4" s="29" t="s">
        <v>9</v>
      </c>
      <c r="Q4" s="29" t="s">
        <v>33</v>
      </c>
    </row>
    <row r="5" spans="1:18" s="45" customFormat="1" ht="15" customHeight="1" x14ac:dyDescent="0.25">
      <c r="A5" s="42"/>
      <c r="B5" s="51" t="s">
        <v>449</v>
      </c>
      <c r="C5" s="43">
        <v>25.5</v>
      </c>
      <c r="D5" s="43">
        <v>25.6</v>
      </c>
      <c r="E5" s="43">
        <v>25.3</v>
      </c>
      <c r="F5" s="43">
        <v>25.3</v>
      </c>
      <c r="G5" s="43">
        <v>25.5</v>
      </c>
      <c r="H5" s="43">
        <v>25.7</v>
      </c>
      <c r="I5" s="43">
        <v>25.9</v>
      </c>
      <c r="J5" s="43">
        <v>26.1</v>
      </c>
      <c r="K5" s="43">
        <v>26.3</v>
      </c>
      <c r="L5" s="43">
        <v>26.5</v>
      </c>
      <c r="M5" s="43">
        <v>26.8</v>
      </c>
      <c r="N5" s="57"/>
      <c r="O5" s="57"/>
      <c r="P5" s="46"/>
      <c r="Q5" s="44"/>
    </row>
    <row r="6" spans="1:18" ht="15" customHeight="1" x14ac:dyDescent="0.25">
      <c r="B6" s="30" t="s">
        <v>50</v>
      </c>
      <c r="C6" s="28">
        <v>-749.6</v>
      </c>
      <c r="D6" s="28">
        <v>-771.2</v>
      </c>
      <c r="E6" s="28">
        <v>-797.7</v>
      </c>
      <c r="F6" s="28">
        <v>-839.6</v>
      </c>
      <c r="G6" s="28">
        <v>-891.3</v>
      </c>
      <c r="H6" s="28">
        <v>-927.8</v>
      </c>
      <c r="I6" s="28">
        <v>-976.1</v>
      </c>
      <c r="J6" s="28">
        <v>-1029.8</v>
      </c>
      <c r="K6" s="28">
        <v>-1082.4000000000001</v>
      </c>
      <c r="L6" s="28">
        <v>-1135.8</v>
      </c>
      <c r="M6" s="28">
        <v>-1193.7</v>
      </c>
      <c r="N6" s="28">
        <v>-3158.2</v>
      </c>
      <c r="O6" s="28">
        <v>-10395.299999999999</v>
      </c>
      <c r="P6" s="29" t="s">
        <v>14</v>
      </c>
      <c r="Q6" s="29" t="s">
        <v>33</v>
      </c>
    </row>
    <row r="7" spans="1:18" s="45" customFormat="1" ht="15" customHeight="1" x14ac:dyDescent="0.25">
      <c r="A7" s="42"/>
      <c r="B7" s="51" t="s">
        <v>449</v>
      </c>
      <c r="C7" s="43">
        <v>-26</v>
      </c>
      <c r="D7" s="43">
        <v>-25.8</v>
      </c>
      <c r="E7" s="43">
        <v>-25.3</v>
      </c>
      <c r="F7" s="43">
        <v>-25.3</v>
      </c>
      <c r="G7" s="43">
        <v>-25.5</v>
      </c>
      <c r="H7" s="43">
        <v>-25.2</v>
      </c>
      <c r="I7" s="43">
        <v>-25.2</v>
      </c>
      <c r="J7" s="43">
        <v>-25.3</v>
      </c>
      <c r="K7" s="43">
        <v>-25.3</v>
      </c>
      <c r="L7" s="43">
        <v>-25.3</v>
      </c>
      <c r="M7" s="43">
        <v>-25.4</v>
      </c>
      <c r="N7" s="57"/>
      <c r="O7" s="57"/>
      <c r="P7" s="46"/>
      <c r="Q7" s="46"/>
    </row>
    <row r="8" spans="1:18" ht="15" customHeight="1" x14ac:dyDescent="0.25">
      <c r="B8" s="30" t="s">
        <v>51</v>
      </c>
      <c r="C8" s="28">
        <v>-27.9</v>
      </c>
      <c r="D8" s="28">
        <v>-30.2</v>
      </c>
      <c r="E8" s="28">
        <v>-36.700000000000003</v>
      </c>
      <c r="F8" s="28">
        <v>-38.200000000000003</v>
      </c>
      <c r="G8" s="28">
        <v>-42.2</v>
      </c>
      <c r="H8" s="28">
        <v>-53</v>
      </c>
      <c r="I8" s="28">
        <v>-58.6</v>
      </c>
      <c r="J8" s="28">
        <v>-64.8</v>
      </c>
      <c r="K8" s="28">
        <v>-64.3</v>
      </c>
      <c r="L8" s="28">
        <v>-66.7</v>
      </c>
      <c r="M8" s="28">
        <v>-67.400000000000006</v>
      </c>
      <c r="N8" s="28">
        <v>-133</v>
      </c>
      <c r="O8" s="28">
        <v>-550</v>
      </c>
      <c r="P8" s="29" t="s">
        <v>15</v>
      </c>
      <c r="Q8" s="29" t="s">
        <v>33</v>
      </c>
    </row>
    <row r="9" spans="1:18" s="45" customFormat="1" ht="15" customHeight="1" x14ac:dyDescent="0.25">
      <c r="A9" s="42"/>
      <c r="B9" s="51" t="s">
        <v>449</v>
      </c>
      <c r="C9" s="43">
        <v>-1</v>
      </c>
      <c r="D9" s="43">
        <v>-1</v>
      </c>
      <c r="E9" s="43">
        <v>-1.2</v>
      </c>
      <c r="F9" s="43">
        <v>-1.2</v>
      </c>
      <c r="G9" s="43">
        <v>-1.2</v>
      </c>
      <c r="H9" s="43">
        <v>-1.4</v>
      </c>
      <c r="I9" s="43">
        <v>-1.5</v>
      </c>
      <c r="J9" s="43">
        <v>-1.6</v>
      </c>
      <c r="K9" s="43">
        <v>-1.5</v>
      </c>
      <c r="L9" s="43">
        <v>-1.5</v>
      </c>
      <c r="M9" s="43">
        <v>-1.4</v>
      </c>
      <c r="N9" s="57"/>
      <c r="O9" s="57"/>
      <c r="P9" s="46"/>
      <c r="Q9" s="47"/>
    </row>
    <row r="10" spans="1:18" ht="15" customHeight="1" x14ac:dyDescent="0.25">
      <c r="B10" s="30" t="s">
        <v>52</v>
      </c>
      <c r="C10" s="28">
        <v>-42.2</v>
      </c>
      <c r="D10" s="28">
        <v>-35.4</v>
      </c>
      <c r="E10" s="28">
        <v>-37.1</v>
      </c>
      <c r="F10" s="28">
        <v>-37</v>
      </c>
      <c r="G10" s="28">
        <v>-41.2</v>
      </c>
      <c r="H10" s="28">
        <v>-33.700000000000003</v>
      </c>
      <c r="I10" s="28">
        <v>-32.1</v>
      </c>
      <c r="J10" s="28">
        <v>-32.6</v>
      </c>
      <c r="K10" s="28">
        <v>-22</v>
      </c>
      <c r="L10" s="28">
        <v>-12.8</v>
      </c>
      <c r="M10" s="28">
        <v>-0.9</v>
      </c>
      <c r="N10" s="28">
        <v>-151.6</v>
      </c>
      <c r="O10" s="28">
        <v>-327</v>
      </c>
      <c r="P10" s="40" t="s">
        <v>19</v>
      </c>
      <c r="Q10" s="40" t="s">
        <v>53</v>
      </c>
    </row>
    <row r="11" spans="1:18" ht="15" customHeight="1" x14ac:dyDescent="0.25">
      <c r="B11" s="51" t="s">
        <v>449</v>
      </c>
      <c r="C11" s="43">
        <v>-1.5</v>
      </c>
      <c r="D11" s="43">
        <v>-1.2</v>
      </c>
      <c r="E11" s="43">
        <v>-1.2</v>
      </c>
      <c r="F11" s="43">
        <v>-1.1000000000000001</v>
      </c>
      <c r="G11" s="43">
        <v>-1.2</v>
      </c>
      <c r="H11" s="43">
        <v>-0.9</v>
      </c>
      <c r="I11" s="43">
        <v>-0.8</v>
      </c>
      <c r="J11" s="43">
        <v>-0.8</v>
      </c>
      <c r="K11" s="43">
        <v>-0.5</v>
      </c>
      <c r="L11" s="43">
        <v>-0.3</v>
      </c>
      <c r="M11" s="43" t="s">
        <v>12</v>
      </c>
      <c r="N11" s="57"/>
      <c r="O11" s="57"/>
      <c r="P11" s="40"/>
      <c r="Q11" s="40"/>
    </row>
    <row r="12" spans="1:18" ht="15" customHeight="1" x14ac:dyDescent="0.25">
      <c r="B12" s="33" t="s">
        <v>92</v>
      </c>
      <c r="C12" s="23"/>
      <c r="D12" s="23"/>
      <c r="E12" s="23"/>
      <c r="F12" s="23"/>
      <c r="G12" s="24"/>
      <c r="H12" s="24"/>
      <c r="I12" s="24"/>
      <c r="J12" s="24"/>
      <c r="K12" s="24"/>
      <c r="L12" s="24"/>
      <c r="M12" s="24"/>
      <c r="N12" s="23"/>
      <c r="O12" s="23"/>
      <c r="P12" s="25"/>
      <c r="Q12" s="39"/>
    </row>
    <row r="13" spans="1:18" s="21" customFormat="1" ht="15" customHeight="1" x14ac:dyDescent="0.25">
      <c r="A13" s="20"/>
      <c r="B13" s="30" t="s">
        <v>54</v>
      </c>
      <c r="C13" s="28">
        <v>-13</v>
      </c>
      <c r="D13" s="28">
        <v>-7.5</v>
      </c>
      <c r="E13" s="28">
        <v>3.5</v>
      </c>
      <c r="F13" s="28">
        <v>4.5</v>
      </c>
      <c r="G13" s="28">
        <v>4.7</v>
      </c>
      <c r="H13" s="28">
        <v>1.3</v>
      </c>
      <c r="I13" s="28">
        <v>-4.9000000000000004</v>
      </c>
      <c r="J13" s="28">
        <v>-13.2</v>
      </c>
      <c r="K13" s="28">
        <v>-23.2</v>
      </c>
      <c r="L13" s="28">
        <v>-33.200000000000003</v>
      </c>
      <c r="M13" s="28">
        <v>-46.3</v>
      </c>
      <c r="N13" s="28">
        <v>-12.4</v>
      </c>
      <c r="O13" s="28">
        <v>-127.2</v>
      </c>
      <c r="P13" s="29" t="s">
        <v>21</v>
      </c>
      <c r="Q13" s="29" t="s">
        <v>455</v>
      </c>
    </row>
    <row r="14" spans="1:18" s="45" customFormat="1" ht="15" customHeight="1" x14ac:dyDescent="0.25">
      <c r="A14" s="42"/>
      <c r="B14" s="51" t="s">
        <v>449</v>
      </c>
      <c r="C14" s="43">
        <v>-0.5</v>
      </c>
      <c r="D14" s="43">
        <v>-0.3</v>
      </c>
      <c r="E14" s="43">
        <v>0.1</v>
      </c>
      <c r="F14" s="43">
        <v>0.1</v>
      </c>
      <c r="G14" s="43">
        <v>0.1</v>
      </c>
      <c r="H14" s="43" t="s">
        <v>12</v>
      </c>
      <c r="I14" s="43">
        <v>-0.1</v>
      </c>
      <c r="J14" s="43">
        <v>-0.3</v>
      </c>
      <c r="K14" s="43">
        <v>-0.5</v>
      </c>
      <c r="L14" s="43">
        <v>-0.7</v>
      </c>
      <c r="M14" s="43">
        <v>-1</v>
      </c>
      <c r="N14" s="57"/>
      <c r="O14" s="57"/>
      <c r="P14" s="48"/>
      <c r="Q14" s="49"/>
    </row>
    <row r="15" spans="1:18" s="21" customFormat="1" ht="15" customHeight="1" x14ac:dyDescent="0.25">
      <c r="A15" s="20"/>
      <c r="B15" s="30" t="s">
        <v>55</v>
      </c>
      <c r="C15" s="28">
        <v>6.4</v>
      </c>
      <c r="D15" s="28">
        <v>1.8</v>
      </c>
      <c r="E15" s="28">
        <v>2.9</v>
      </c>
      <c r="F15" s="28">
        <v>3.4</v>
      </c>
      <c r="G15" s="28">
        <v>7.8</v>
      </c>
      <c r="H15" s="28">
        <v>1.5</v>
      </c>
      <c r="I15" s="28">
        <v>-1.9</v>
      </c>
      <c r="J15" s="28">
        <v>-6.5</v>
      </c>
      <c r="K15" s="28">
        <v>-11.2</v>
      </c>
      <c r="L15" s="28">
        <v>-17</v>
      </c>
      <c r="M15" s="28">
        <v>-17.2</v>
      </c>
      <c r="N15" s="28">
        <v>14.5</v>
      </c>
      <c r="O15" s="28">
        <v>-30</v>
      </c>
      <c r="P15" s="29" t="s">
        <v>37</v>
      </c>
      <c r="Q15" s="29" t="s">
        <v>56</v>
      </c>
    </row>
    <row r="16" spans="1:18" s="50" customFormat="1" ht="15" customHeight="1" x14ac:dyDescent="0.25">
      <c r="A16" s="42"/>
      <c r="B16" s="51" t="s">
        <v>449</v>
      </c>
      <c r="C16" s="43">
        <v>0.2</v>
      </c>
      <c r="D16" s="43">
        <v>0.1</v>
      </c>
      <c r="E16" s="43">
        <v>0.1</v>
      </c>
      <c r="F16" s="43">
        <v>0.1</v>
      </c>
      <c r="G16" s="43">
        <v>0.2</v>
      </c>
      <c r="H16" s="43" t="s">
        <v>12</v>
      </c>
      <c r="I16" s="43" t="s">
        <v>12</v>
      </c>
      <c r="J16" s="43">
        <v>-0.2</v>
      </c>
      <c r="K16" s="43">
        <v>-0.3</v>
      </c>
      <c r="L16" s="43">
        <v>-0.4</v>
      </c>
      <c r="M16" s="43">
        <v>-0.4</v>
      </c>
      <c r="N16" s="57"/>
      <c r="O16" s="57"/>
      <c r="P16" s="46"/>
      <c r="Q16" s="46"/>
      <c r="R16" s="45"/>
    </row>
    <row r="17" spans="1:17" s="52" customFormat="1" ht="15" customHeight="1" x14ac:dyDescent="0.25">
      <c r="A17" s="20"/>
      <c r="B17" s="30" t="s">
        <v>57</v>
      </c>
      <c r="C17" s="28">
        <v>0.9</v>
      </c>
      <c r="D17" s="28">
        <v>0.9</v>
      </c>
      <c r="E17" s="28">
        <v>1.1000000000000001</v>
      </c>
      <c r="F17" s="28">
        <v>1.6</v>
      </c>
      <c r="G17" s="28">
        <v>2.2000000000000002</v>
      </c>
      <c r="H17" s="28">
        <v>2.8</v>
      </c>
      <c r="I17" s="28">
        <v>3.1</v>
      </c>
      <c r="J17" s="28">
        <v>3.1</v>
      </c>
      <c r="K17" s="28">
        <v>2.8</v>
      </c>
      <c r="L17" s="28">
        <v>2.2000000000000002</v>
      </c>
      <c r="M17" s="28">
        <v>1</v>
      </c>
      <c r="N17" s="28">
        <v>4.4000000000000004</v>
      </c>
      <c r="O17" s="28">
        <v>21.6</v>
      </c>
      <c r="P17" s="29" t="s">
        <v>39</v>
      </c>
      <c r="Q17" s="29" t="s">
        <v>456</v>
      </c>
    </row>
    <row r="18" spans="1:17" s="50" customFormat="1" ht="15" customHeight="1" x14ac:dyDescent="0.25">
      <c r="A18" s="42"/>
      <c r="B18" s="51" t="s">
        <v>449</v>
      </c>
      <c r="C18" s="43" t="s">
        <v>12</v>
      </c>
      <c r="D18" s="43" t="s">
        <v>12</v>
      </c>
      <c r="E18" s="43" t="s">
        <v>12</v>
      </c>
      <c r="F18" s="43" t="s">
        <v>12</v>
      </c>
      <c r="G18" s="43">
        <v>0.1</v>
      </c>
      <c r="H18" s="43">
        <v>0.1</v>
      </c>
      <c r="I18" s="43">
        <v>0.1</v>
      </c>
      <c r="J18" s="43">
        <v>0.1</v>
      </c>
      <c r="K18" s="43">
        <v>0.1</v>
      </c>
      <c r="L18" s="43" t="s">
        <v>12</v>
      </c>
      <c r="M18" s="43" t="s">
        <v>12</v>
      </c>
      <c r="N18" s="57"/>
      <c r="O18" s="57"/>
      <c r="P18" s="46"/>
      <c r="Q18" s="46"/>
    </row>
    <row r="19" spans="1:17" s="52" customFormat="1" ht="15" customHeight="1" x14ac:dyDescent="0.25">
      <c r="A19" s="20"/>
      <c r="B19" s="30" t="s">
        <v>58</v>
      </c>
      <c r="C19" s="28">
        <v>-5.7</v>
      </c>
      <c r="D19" s="28">
        <v>-4.8</v>
      </c>
      <c r="E19" s="28">
        <v>7.5</v>
      </c>
      <c r="F19" s="28">
        <v>9.5</v>
      </c>
      <c r="G19" s="28">
        <v>14.7</v>
      </c>
      <c r="H19" s="28">
        <v>5.6</v>
      </c>
      <c r="I19" s="28">
        <v>-3.7</v>
      </c>
      <c r="J19" s="28">
        <v>-16.600000000000001</v>
      </c>
      <c r="K19" s="28">
        <v>-31.6</v>
      </c>
      <c r="L19" s="28">
        <v>-48</v>
      </c>
      <c r="M19" s="28">
        <v>-62.5</v>
      </c>
      <c r="N19" s="28">
        <v>6.6</v>
      </c>
      <c r="O19" s="28">
        <v>-135.6</v>
      </c>
      <c r="P19" s="29" t="s">
        <v>59</v>
      </c>
      <c r="Q19" s="29" t="s">
        <v>457</v>
      </c>
    </row>
    <row r="20" spans="1:17" s="50" customFormat="1" ht="15" customHeight="1" x14ac:dyDescent="0.25">
      <c r="A20" s="42"/>
      <c r="B20" s="51" t="s">
        <v>449</v>
      </c>
      <c r="C20" s="43">
        <v>-0.2</v>
      </c>
      <c r="D20" s="43">
        <v>-0.2</v>
      </c>
      <c r="E20" s="43">
        <v>0.2</v>
      </c>
      <c r="F20" s="43">
        <v>0.3</v>
      </c>
      <c r="G20" s="43">
        <v>0.4</v>
      </c>
      <c r="H20" s="43">
        <v>0.2</v>
      </c>
      <c r="I20" s="43">
        <v>-0.1</v>
      </c>
      <c r="J20" s="43">
        <v>-0.4</v>
      </c>
      <c r="K20" s="43">
        <v>-0.7</v>
      </c>
      <c r="L20" s="43">
        <v>-1.1000000000000001</v>
      </c>
      <c r="M20" s="43">
        <v>-1.3</v>
      </c>
      <c r="N20" s="57"/>
      <c r="O20" s="57"/>
      <c r="P20" s="46"/>
      <c r="Q20" s="46"/>
    </row>
    <row r="21" spans="1:17" s="52" customFormat="1" ht="15" customHeight="1" x14ac:dyDescent="0.25">
      <c r="A21" s="20"/>
      <c r="B21" s="30" t="s">
        <v>60</v>
      </c>
      <c r="C21" s="28">
        <v>722.4</v>
      </c>
      <c r="D21" s="28">
        <v>758.4</v>
      </c>
      <c r="E21" s="28">
        <v>800.9</v>
      </c>
      <c r="F21" s="28">
        <v>845.3</v>
      </c>
      <c r="G21" s="28">
        <v>897</v>
      </c>
      <c r="H21" s="28">
        <v>948.4</v>
      </c>
      <c r="I21" s="28">
        <v>997.8</v>
      </c>
      <c r="J21" s="28">
        <v>1048.8</v>
      </c>
      <c r="K21" s="28">
        <v>1101.5999999999999</v>
      </c>
      <c r="L21" s="28">
        <v>1156.5999999999999</v>
      </c>
      <c r="M21" s="28">
        <v>1213.9000000000001</v>
      </c>
      <c r="N21" s="28">
        <v>3127.2</v>
      </c>
      <c r="O21" s="28">
        <v>10491.2</v>
      </c>
      <c r="P21" s="29" t="s">
        <v>61</v>
      </c>
      <c r="Q21" s="29" t="s">
        <v>62</v>
      </c>
    </row>
    <row r="22" spans="1:17" s="50" customFormat="1" ht="15" customHeight="1" x14ac:dyDescent="0.25">
      <c r="A22" s="42"/>
      <c r="B22" s="51" t="s">
        <v>449</v>
      </c>
      <c r="C22" s="43">
        <v>25.1</v>
      </c>
      <c r="D22" s="43">
        <v>25.3</v>
      </c>
      <c r="E22" s="43">
        <v>25.4</v>
      </c>
      <c r="F22" s="43">
        <v>25.5</v>
      </c>
      <c r="G22" s="43">
        <v>25.6</v>
      </c>
      <c r="H22" s="43">
        <v>25.8</v>
      </c>
      <c r="I22" s="43">
        <v>25.8</v>
      </c>
      <c r="J22" s="43">
        <v>25.8</v>
      </c>
      <c r="K22" s="43">
        <v>25.8</v>
      </c>
      <c r="L22" s="43">
        <v>25.8</v>
      </c>
      <c r="M22" s="43">
        <v>25.8</v>
      </c>
      <c r="N22" s="57"/>
      <c r="O22" s="57"/>
      <c r="P22" s="46"/>
      <c r="Q22" s="46"/>
    </row>
    <row r="23" spans="1:17" ht="15" customHeight="1" x14ac:dyDescent="0.25">
      <c r="B23" s="30" t="s">
        <v>63</v>
      </c>
      <c r="C23" s="28">
        <v>-743.2</v>
      </c>
      <c r="D23" s="28">
        <v>-769.4</v>
      </c>
      <c r="E23" s="28">
        <v>-794.8</v>
      </c>
      <c r="F23" s="28">
        <v>-836.2</v>
      </c>
      <c r="G23" s="28">
        <v>-883.6</v>
      </c>
      <c r="H23" s="28">
        <v>-926.4</v>
      </c>
      <c r="I23" s="28">
        <v>-978</v>
      </c>
      <c r="J23" s="28">
        <v>-1036.3</v>
      </c>
      <c r="K23" s="28">
        <v>-1093.5999999999999</v>
      </c>
      <c r="L23" s="28">
        <v>-1152.8</v>
      </c>
      <c r="M23" s="28">
        <v>-1211</v>
      </c>
      <c r="N23" s="28">
        <v>-3143.7</v>
      </c>
      <c r="O23" s="28">
        <v>-10425.299999999999</v>
      </c>
      <c r="P23" s="29" t="s">
        <v>64</v>
      </c>
      <c r="Q23" s="29" t="s">
        <v>65</v>
      </c>
    </row>
    <row r="24" spans="1:17" s="50" customFormat="1" ht="15" customHeight="1" x14ac:dyDescent="0.25">
      <c r="A24" s="42"/>
      <c r="B24" s="51" t="s">
        <v>449</v>
      </c>
      <c r="C24" s="43">
        <v>-25.8</v>
      </c>
      <c r="D24" s="43">
        <v>-25.7</v>
      </c>
      <c r="E24" s="43">
        <v>-25.2</v>
      </c>
      <c r="F24" s="43">
        <v>-25.2</v>
      </c>
      <c r="G24" s="43">
        <v>-25.3</v>
      </c>
      <c r="H24" s="43">
        <v>-25.2</v>
      </c>
      <c r="I24" s="43">
        <v>-25.3</v>
      </c>
      <c r="J24" s="43">
        <v>-25.5</v>
      </c>
      <c r="K24" s="43">
        <v>-25.6</v>
      </c>
      <c r="L24" s="43">
        <v>-25.7</v>
      </c>
      <c r="M24" s="43">
        <v>-25.7</v>
      </c>
      <c r="N24" s="57"/>
      <c r="O24" s="57"/>
      <c r="P24" s="46"/>
      <c r="Q24" s="46"/>
    </row>
    <row r="25" spans="1:17" ht="15" customHeight="1" x14ac:dyDescent="0.25">
      <c r="B25" s="30" t="s">
        <v>66</v>
      </c>
      <c r="C25" s="28">
        <v>-27</v>
      </c>
      <c r="D25" s="28">
        <v>-29.2</v>
      </c>
      <c r="E25" s="28">
        <v>-35.700000000000003</v>
      </c>
      <c r="F25" s="28">
        <v>-36.700000000000003</v>
      </c>
      <c r="G25" s="28">
        <v>-40</v>
      </c>
      <c r="H25" s="28">
        <v>-50.2</v>
      </c>
      <c r="I25" s="28">
        <v>-55.6</v>
      </c>
      <c r="J25" s="28">
        <v>-61.7</v>
      </c>
      <c r="K25" s="28">
        <v>-61.5</v>
      </c>
      <c r="L25" s="28">
        <v>-64.599999999999994</v>
      </c>
      <c r="M25" s="28">
        <v>-66.400000000000006</v>
      </c>
      <c r="N25" s="28">
        <v>-128.5</v>
      </c>
      <c r="O25" s="28">
        <v>-528.5</v>
      </c>
      <c r="P25" s="29" t="s">
        <v>67</v>
      </c>
      <c r="Q25" s="29" t="s">
        <v>68</v>
      </c>
    </row>
    <row r="26" spans="1:17" s="45" customFormat="1" ht="15" customHeight="1" x14ac:dyDescent="0.25">
      <c r="A26" s="42"/>
      <c r="B26" s="51" t="s">
        <v>449</v>
      </c>
      <c r="C26" s="43">
        <v>-0.9</v>
      </c>
      <c r="D26" s="43">
        <v>-1</v>
      </c>
      <c r="E26" s="43">
        <v>-1.1000000000000001</v>
      </c>
      <c r="F26" s="43">
        <v>-1.1000000000000001</v>
      </c>
      <c r="G26" s="43">
        <v>-1.1000000000000001</v>
      </c>
      <c r="H26" s="43">
        <v>-1.4</v>
      </c>
      <c r="I26" s="43">
        <v>-1.4</v>
      </c>
      <c r="J26" s="43">
        <v>-1.5</v>
      </c>
      <c r="K26" s="43">
        <v>-1.4</v>
      </c>
      <c r="L26" s="43">
        <v>-1.4</v>
      </c>
      <c r="M26" s="43">
        <v>-1.4</v>
      </c>
      <c r="N26" s="57"/>
      <c r="O26" s="57"/>
      <c r="P26" s="46"/>
      <c r="Q26" s="46"/>
    </row>
    <row r="27" spans="1:17" ht="15" customHeight="1" x14ac:dyDescent="0.25">
      <c r="B27" s="30" t="s">
        <v>38</v>
      </c>
      <c r="C27" s="28">
        <v>-47.9</v>
      </c>
      <c r="D27" s="28">
        <v>-40.200000000000003</v>
      </c>
      <c r="E27" s="28">
        <v>-29.6</v>
      </c>
      <c r="F27" s="28">
        <v>-27.5</v>
      </c>
      <c r="G27" s="28">
        <v>-26.5</v>
      </c>
      <c r="H27" s="28">
        <v>-28.2</v>
      </c>
      <c r="I27" s="28">
        <v>-35.799999999999997</v>
      </c>
      <c r="J27" s="28">
        <v>-49.2</v>
      </c>
      <c r="K27" s="28">
        <v>-53.5</v>
      </c>
      <c r="L27" s="28">
        <v>-60.8</v>
      </c>
      <c r="M27" s="28">
        <v>-63.5</v>
      </c>
      <c r="N27" s="28">
        <v>-145</v>
      </c>
      <c r="O27" s="28">
        <v>-462.6</v>
      </c>
      <c r="P27" s="29" t="s">
        <v>69</v>
      </c>
      <c r="Q27" s="29" t="s">
        <v>458</v>
      </c>
    </row>
    <row r="28" spans="1:17" s="45" customFormat="1" ht="15" customHeight="1" x14ac:dyDescent="0.25">
      <c r="A28" s="42"/>
      <c r="B28" s="51" t="s">
        <v>449</v>
      </c>
      <c r="C28" s="43">
        <v>-1.7</v>
      </c>
      <c r="D28" s="43">
        <v>-1.3</v>
      </c>
      <c r="E28" s="43">
        <v>-0.9</v>
      </c>
      <c r="F28" s="43">
        <v>-0.8</v>
      </c>
      <c r="G28" s="43">
        <v>-0.8</v>
      </c>
      <c r="H28" s="43">
        <v>-0.8</v>
      </c>
      <c r="I28" s="43">
        <v>-0.9</v>
      </c>
      <c r="J28" s="43">
        <v>-1.2</v>
      </c>
      <c r="K28" s="43">
        <v>-1.3</v>
      </c>
      <c r="L28" s="43">
        <v>-1.4</v>
      </c>
      <c r="M28" s="43">
        <v>-1.3</v>
      </c>
      <c r="N28" s="57"/>
      <c r="O28" s="57"/>
      <c r="P28" s="46"/>
      <c r="Q28" s="46"/>
    </row>
    <row r="29" spans="1:17" ht="15" customHeight="1" x14ac:dyDescent="0.25"/>
    <row r="30" spans="1:17" ht="15" customHeight="1" x14ac:dyDescent="0.25">
      <c r="B30" s="14" t="s">
        <v>23</v>
      </c>
    </row>
    <row r="31" spans="1:17" ht="15" customHeight="1" x14ac:dyDescent="0.25">
      <c r="B31" s="10" t="s">
        <v>24</v>
      </c>
    </row>
    <row r="32" spans="1:17" ht="15" customHeight="1" x14ac:dyDescent="0.25">
      <c r="B32" s="10" t="s">
        <v>25</v>
      </c>
    </row>
    <row r="33" spans="2:17" ht="15" customHeight="1" x14ac:dyDescent="0.25">
      <c r="B33" s="10" t="s">
        <v>26</v>
      </c>
    </row>
    <row r="34" spans="2:17" ht="15" customHeight="1" x14ac:dyDescent="0.25">
      <c r="B34" s="10" t="s">
        <v>27</v>
      </c>
    </row>
    <row r="35" spans="2:17" ht="15" customHeight="1" x14ac:dyDescent="0.25">
      <c r="B35" s="71" t="s">
        <v>40</v>
      </c>
    </row>
    <row r="36" spans="2:17" ht="15" customHeight="1" x14ac:dyDescent="0.25">
      <c r="B36" s="10" t="s">
        <v>95</v>
      </c>
      <c r="C36" s="76"/>
      <c r="D36" s="76"/>
      <c r="E36" s="76"/>
      <c r="F36" s="76"/>
      <c r="G36" s="76"/>
      <c r="H36" s="76"/>
      <c r="I36" s="76"/>
      <c r="J36" s="76"/>
      <c r="K36" s="76"/>
      <c r="L36" s="76"/>
      <c r="M36" s="76"/>
      <c r="N36" s="76"/>
      <c r="O36" s="76"/>
      <c r="P36" s="77"/>
      <c r="Q36" s="77"/>
    </row>
    <row r="37" spans="2:17" ht="15" customHeight="1" x14ac:dyDescent="0.25">
      <c r="B37" s="10" t="s">
        <v>70</v>
      </c>
    </row>
    <row r="38" spans="2:17" ht="15" customHeight="1" x14ac:dyDescent="0.25">
      <c r="B38" s="10" t="s">
        <v>71</v>
      </c>
    </row>
    <row r="39" spans="2:17" ht="15" customHeight="1" x14ac:dyDescent="0.25">
      <c r="B39" s="10" t="s">
        <v>72</v>
      </c>
    </row>
    <row r="40" spans="2:17" ht="15" customHeight="1" x14ac:dyDescent="0.25"/>
    <row r="41" spans="2:17" ht="15" customHeight="1" x14ac:dyDescent="0.25">
      <c r="B41" s="15" t="s">
        <v>30</v>
      </c>
    </row>
    <row r="42" spans="2:17" ht="12" customHeight="1" x14ac:dyDescent="0.25"/>
  </sheetData>
  <hyperlinks>
    <hyperlink ref="B41" location="Contents!A1" display="Back to contents" xr:uid="{5668D51F-FD4F-4AFE-8F5D-A252B60E2F27}"/>
  </hyperlinks>
  <pageMargins left="0.25" right="0.25"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6369-C86E-4051-8AC6-71E86DA476DB}">
  <sheetPr>
    <tabColor theme="0" tint="-4.9989318521683403E-2"/>
  </sheetPr>
  <dimension ref="A2:R43"/>
  <sheetViews>
    <sheetView showGridLines="0" zoomScaleNormal="100" workbookViewId="0"/>
  </sheetViews>
  <sheetFormatPr defaultColWidth="8.85546875" defaultRowHeight="12" x14ac:dyDescent="0.25"/>
  <cols>
    <col min="1" max="1" width="3.7109375" style="8" customWidth="1"/>
    <col min="2" max="2" width="75.7109375" style="8" customWidth="1"/>
    <col min="3" max="13" width="8.7109375" style="16" customWidth="1"/>
    <col min="14" max="15" width="10.7109375" style="16" customWidth="1"/>
    <col min="16" max="16" width="10.7109375" style="17" customWidth="1"/>
    <col min="17" max="17" width="35.7109375" style="17" customWidth="1"/>
    <col min="18" max="16384" width="8.85546875" style="11"/>
  </cols>
  <sheetData>
    <row r="2" spans="1:18" ht="24" customHeight="1" x14ac:dyDescent="0.25">
      <c r="B2" s="18" t="s">
        <v>73</v>
      </c>
    </row>
    <row r="3" spans="1:18" s="13" customFormat="1" ht="24" customHeight="1" x14ac:dyDescent="0.25">
      <c r="A3" s="12"/>
      <c r="B3" s="37" t="s">
        <v>31</v>
      </c>
      <c r="C3" s="54" t="s">
        <v>471</v>
      </c>
      <c r="D3" s="54" t="s">
        <v>618</v>
      </c>
      <c r="E3" s="54" t="s">
        <v>619</v>
      </c>
      <c r="F3" s="54" t="s">
        <v>620</v>
      </c>
      <c r="G3" s="54" t="s">
        <v>621</v>
      </c>
      <c r="H3" s="54" t="s">
        <v>622</v>
      </c>
      <c r="I3" s="54" t="s">
        <v>623</v>
      </c>
      <c r="J3" s="54" t="s">
        <v>624</v>
      </c>
      <c r="K3" s="54" t="s">
        <v>625</v>
      </c>
      <c r="L3" s="54" t="s">
        <v>626</v>
      </c>
      <c r="M3" s="54" t="s">
        <v>627</v>
      </c>
      <c r="N3" s="54" t="s">
        <v>628</v>
      </c>
      <c r="O3" s="138" t="s">
        <v>629</v>
      </c>
      <c r="P3" s="22" t="s">
        <v>6</v>
      </c>
      <c r="Q3" s="38" t="s">
        <v>7</v>
      </c>
    </row>
    <row r="4" spans="1:18" ht="15" customHeight="1" x14ac:dyDescent="0.25">
      <c r="B4" s="27" t="s">
        <v>74</v>
      </c>
      <c r="C4" s="28">
        <v>750.3</v>
      </c>
      <c r="D4" s="28">
        <v>783.6</v>
      </c>
      <c r="E4" s="28">
        <v>815.4</v>
      </c>
      <c r="F4" s="28">
        <v>862.5</v>
      </c>
      <c r="G4" s="28">
        <v>913.6</v>
      </c>
      <c r="H4" s="28">
        <v>969.7</v>
      </c>
      <c r="I4" s="28">
        <v>1027.2</v>
      </c>
      <c r="J4" s="28">
        <v>1088.5999999999999</v>
      </c>
      <c r="K4" s="28">
        <v>1153.2</v>
      </c>
      <c r="L4" s="28">
        <v>1219.7</v>
      </c>
      <c r="M4" s="28">
        <v>1292.3</v>
      </c>
      <c r="N4" s="28">
        <v>3211.8</v>
      </c>
      <c r="O4" s="28">
        <v>10876.1</v>
      </c>
      <c r="P4" s="29" t="s">
        <v>9</v>
      </c>
      <c r="Q4" s="29" t="s">
        <v>33</v>
      </c>
    </row>
    <row r="5" spans="1:18" s="45" customFormat="1" ht="15" customHeight="1" x14ac:dyDescent="0.25">
      <c r="A5" s="42"/>
      <c r="B5" s="51" t="s">
        <v>449</v>
      </c>
      <c r="C5" s="43">
        <v>26.1</v>
      </c>
      <c r="D5" s="43">
        <v>26.2</v>
      </c>
      <c r="E5" s="43">
        <v>25.9</v>
      </c>
      <c r="F5" s="43">
        <v>26</v>
      </c>
      <c r="G5" s="43">
        <v>26.1</v>
      </c>
      <c r="H5" s="43">
        <v>26.3</v>
      </c>
      <c r="I5" s="43">
        <v>26.5</v>
      </c>
      <c r="J5" s="43">
        <v>26.8</v>
      </c>
      <c r="K5" s="43">
        <v>27</v>
      </c>
      <c r="L5" s="43">
        <v>27.2</v>
      </c>
      <c r="M5" s="43">
        <v>27.4</v>
      </c>
      <c r="N5" s="57">
        <v>26</v>
      </c>
      <c r="O5" s="57">
        <v>26.6</v>
      </c>
      <c r="P5" s="46"/>
      <c r="Q5" s="44"/>
    </row>
    <row r="6" spans="1:18" ht="15" customHeight="1" x14ac:dyDescent="0.25">
      <c r="B6" s="30" t="s">
        <v>75</v>
      </c>
      <c r="C6" s="28">
        <v>-755.8</v>
      </c>
      <c r="D6" s="28">
        <v>-775.3</v>
      </c>
      <c r="E6" s="28">
        <v>-809.7</v>
      </c>
      <c r="F6" s="28">
        <v>-851.3</v>
      </c>
      <c r="G6" s="28">
        <v>-903.8</v>
      </c>
      <c r="H6" s="28">
        <v>-940.5</v>
      </c>
      <c r="I6" s="28">
        <v>-988</v>
      </c>
      <c r="J6" s="28">
        <v>-1041.5</v>
      </c>
      <c r="K6" s="28">
        <v>-1094.5</v>
      </c>
      <c r="L6" s="28">
        <v>-1148.0999999999999</v>
      </c>
      <c r="M6" s="28">
        <v>-1206.3</v>
      </c>
      <c r="N6" s="28">
        <v>-3192.2</v>
      </c>
      <c r="O6" s="28">
        <v>-10514.9</v>
      </c>
      <c r="P6" s="29" t="s">
        <v>14</v>
      </c>
      <c r="Q6" s="29" t="s">
        <v>33</v>
      </c>
    </row>
    <row r="7" spans="1:18" s="45" customFormat="1" ht="15" customHeight="1" x14ac:dyDescent="0.25">
      <c r="A7" s="42"/>
      <c r="B7" s="51" t="s">
        <v>449</v>
      </c>
      <c r="C7" s="43">
        <v>-26.2</v>
      </c>
      <c r="D7" s="43">
        <v>-25.9</v>
      </c>
      <c r="E7" s="43">
        <v>-25.7</v>
      </c>
      <c r="F7" s="43">
        <v>-25.6</v>
      </c>
      <c r="G7" s="43">
        <v>-25.8</v>
      </c>
      <c r="H7" s="43">
        <v>-25.5</v>
      </c>
      <c r="I7" s="43">
        <v>-25.5</v>
      </c>
      <c r="J7" s="43">
        <v>-25.6</v>
      </c>
      <c r="K7" s="43">
        <v>-25.6</v>
      </c>
      <c r="L7" s="43">
        <v>-25.6</v>
      </c>
      <c r="M7" s="43">
        <v>-25.6</v>
      </c>
      <c r="N7" s="57">
        <v>-25.9</v>
      </c>
      <c r="O7" s="57">
        <v>-25.7</v>
      </c>
      <c r="P7" s="46"/>
      <c r="Q7" s="46"/>
    </row>
    <row r="8" spans="1:18" ht="15" customHeight="1" x14ac:dyDescent="0.25">
      <c r="B8" s="30" t="s">
        <v>51</v>
      </c>
      <c r="C8" s="28">
        <v>-38.700000000000003</v>
      </c>
      <c r="D8" s="28">
        <v>-40.299999999999997</v>
      </c>
      <c r="E8" s="28">
        <v>-45.1</v>
      </c>
      <c r="F8" s="28">
        <v>-48.4</v>
      </c>
      <c r="G8" s="28">
        <v>-53.2</v>
      </c>
      <c r="H8" s="28">
        <v>-65.8</v>
      </c>
      <c r="I8" s="28">
        <v>-72.5</v>
      </c>
      <c r="J8" s="28">
        <v>-79.8</v>
      </c>
      <c r="K8" s="28">
        <v>-79.599999999999994</v>
      </c>
      <c r="L8" s="28">
        <v>-82.7</v>
      </c>
      <c r="M8" s="28">
        <v>-83.7</v>
      </c>
      <c r="N8" s="28">
        <v>-172.6</v>
      </c>
      <c r="O8" s="28">
        <v>-689.9</v>
      </c>
      <c r="P8" s="29" t="s">
        <v>15</v>
      </c>
      <c r="Q8" s="29" t="s">
        <v>33</v>
      </c>
    </row>
    <row r="9" spans="1:18" s="45" customFormat="1" ht="15" customHeight="1" x14ac:dyDescent="0.25">
      <c r="A9" s="42"/>
      <c r="B9" s="51" t="s">
        <v>449</v>
      </c>
      <c r="C9" s="43">
        <v>-1.3</v>
      </c>
      <c r="D9" s="43">
        <v>-1.3</v>
      </c>
      <c r="E9" s="43">
        <v>-1.4</v>
      </c>
      <c r="F9" s="43">
        <v>-1.5</v>
      </c>
      <c r="G9" s="43">
        <v>-1.5</v>
      </c>
      <c r="H9" s="43">
        <v>-1.8</v>
      </c>
      <c r="I9" s="43">
        <v>-1.9</v>
      </c>
      <c r="J9" s="43">
        <v>-2</v>
      </c>
      <c r="K9" s="43">
        <v>-1.9</v>
      </c>
      <c r="L9" s="43">
        <v>-1.8</v>
      </c>
      <c r="M9" s="43">
        <v>-1.8</v>
      </c>
      <c r="N9" s="57">
        <v>-1.4</v>
      </c>
      <c r="O9" s="57">
        <v>-1.7</v>
      </c>
      <c r="P9" s="46"/>
      <c r="Q9" s="47"/>
    </row>
    <row r="10" spans="1:18" ht="15" customHeight="1" x14ac:dyDescent="0.25">
      <c r="B10" s="30" t="s">
        <v>76</v>
      </c>
      <c r="C10" s="28">
        <v>-44.2</v>
      </c>
      <c r="D10" s="28">
        <v>-32.1</v>
      </c>
      <c r="E10" s="28">
        <v>-39.4</v>
      </c>
      <c r="F10" s="28">
        <v>-37.299999999999997</v>
      </c>
      <c r="G10" s="28">
        <v>-43.4</v>
      </c>
      <c r="H10" s="28">
        <v>-36.6</v>
      </c>
      <c r="I10" s="28">
        <v>-33.299999999999997</v>
      </c>
      <c r="J10" s="28">
        <v>-32.700000000000003</v>
      </c>
      <c r="K10" s="28">
        <v>-20.9</v>
      </c>
      <c r="L10" s="28">
        <v>-11.1</v>
      </c>
      <c r="M10" s="28">
        <v>2.2999999999999998</v>
      </c>
      <c r="N10" s="28">
        <v>-153</v>
      </c>
      <c r="O10" s="28">
        <v>-328.7</v>
      </c>
      <c r="P10" s="40" t="s">
        <v>19</v>
      </c>
      <c r="Q10" s="40" t="s">
        <v>77</v>
      </c>
    </row>
    <row r="11" spans="1:18" s="45" customFormat="1" ht="15" customHeight="1" x14ac:dyDescent="0.25">
      <c r="A11" s="42"/>
      <c r="B11" s="51" t="s">
        <v>449</v>
      </c>
      <c r="C11" s="43">
        <v>-1.5</v>
      </c>
      <c r="D11" s="43">
        <v>-1.1000000000000001</v>
      </c>
      <c r="E11" s="43">
        <v>-1.3</v>
      </c>
      <c r="F11" s="43">
        <v>-1.1000000000000001</v>
      </c>
      <c r="G11" s="43">
        <v>-1.2</v>
      </c>
      <c r="H11" s="43">
        <v>-1</v>
      </c>
      <c r="I11" s="43">
        <v>-0.9</v>
      </c>
      <c r="J11" s="43">
        <v>-0.8</v>
      </c>
      <c r="K11" s="43">
        <v>-0.5</v>
      </c>
      <c r="L11" s="43">
        <v>-0.2</v>
      </c>
      <c r="M11" s="43" t="s">
        <v>12</v>
      </c>
      <c r="N11" s="57">
        <v>-1.2</v>
      </c>
      <c r="O11" s="57">
        <v>-0.8</v>
      </c>
      <c r="P11" s="40"/>
      <c r="Q11" s="40"/>
    </row>
    <row r="12" spans="1:18" ht="15" customHeight="1" x14ac:dyDescent="0.25">
      <c r="B12" s="33" t="s">
        <v>92</v>
      </c>
      <c r="C12" s="23"/>
      <c r="D12" s="23"/>
      <c r="E12" s="23"/>
      <c r="F12" s="23"/>
      <c r="G12" s="24"/>
      <c r="H12" s="24"/>
      <c r="I12" s="24"/>
      <c r="J12" s="24"/>
      <c r="K12" s="24"/>
      <c r="L12" s="24"/>
      <c r="M12" s="24"/>
      <c r="N12" s="23"/>
      <c r="O12" s="23"/>
      <c r="P12" s="25"/>
      <c r="Q12" s="39"/>
    </row>
    <row r="13" spans="1:18" ht="15" customHeight="1" x14ac:dyDescent="0.25">
      <c r="B13" s="30" t="s">
        <v>78</v>
      </c>
      <c r="C13" s="28">
        <v>-12.6</v>
      </c>
      <c r="D13" s="28">
        <v>-7.2</v>
      </c>
      <c r="E13" s="28">
        <v>3.9</v>
      </c>
      <c r="F13" s="28">
        <v>4.8</v>
      </c>
      <c r="G13" s="28">
        <v>4.7</v>
      </c>
      <c r="H13" s="28">
        <v>-2.7</v>
      </c>
      <c r="I13" s="28">
        <v>-9.6999999999999993</v>
      </c>
      <c r="J13" s="28">
        <v>-19</v>
      </c>
      <c r="K13" s="28">
        <v>-29.6</v>
      </c>
      <c r="L13" s="28">
        <v>-39.9</v>
      </c>
      <c r="M13" s="28">
        <v>-53.9</v>
      </c>
      <c r="N13" s="28">
        <v>-10.5</v>
      </c>
      <c r="O13" s="28">
        <v>-160.5</v>
      </c>
      <c r="P13" s="29" t="s">
        <v>21</v>
      </c>
      <c r="Q13" s="29" t="s">
        <v>459</v>
      </c>
    </row>
    <row r="14" spans="1:18" s="45" customFormat="1" ht="15" customHeight="1" x14ac:dyDescent="0.25">
      <c r="A14" s="42"/>
      <c r="B14" s="51" t="s">
        <v>449</v>
      </c>
      <c r="C14" s="43">
        <v>-0.4</v>
      </c>
      <c r="D14" s="43">
        <v>-0.2</v>
      </c>
      <c r="E14" s="43">
        <v>0.1</v>
      </c>
      <c r="F14" s="43">
        <v>0.1</v>
      </c>
      <c r="G14" s="43">
        <v>0.1</v>
      </c>
      <c r="H14" s="43">
        <v>-0.1</v>
      </c>
      <c r="I14" s="43">
        <v>-0.3</v>
      </c>
      <c r="J14" s="43">
        <v>-0.5</v>
      </c>
      <c r="K14" s="43">
        <v>-0.7</v>
      </c>
      <c r="L14" s="43">
        <v>-0.9</v>
      </c>
      <c r="M14" s="43">
        <v>-1.1000000000000001</v>
      </c>
      <c r="N14" s="57"/>
      <c r="O14" s="57"/>
      <c r="P14" s="48"/>
      <c r="Q14" s="49"/>
    </row>
    <row r="15" spans="1:18" ht="15" customHeight="1" x14ac:dyDescent="0.25">
      <c r="B15" s="30" t="s">
        <v>79</v>
      </c>
      <c r="C15" s="28">
        <v>7.9</v>
      </c>
      <c r="D15" s="28">
        <v>1.4</v>
      </c>
      <c r="E15" s="28">
        <v>3.3</v>
      </c>
      <c r="F15" s="28">
        <v>3.9</v>
      </c>
      <c r="G15" s="28">
        <v>8.3000000000000007</v>
      </c>
      <c r="H15" s="28">
        <v>2.1</v>
      </c>
      <c r="I15" s="28">
        <v>-1.2</v>
      </c>
      <c r="J15" s="28">
        <v>-5.8</v>
      </c>
      <c r="K15" s="28">
        <v>-10.5</v>
      </c>
      <c r="L15" s="28">
        <v>-16.3</v>
      </c>
      <c r="M15" s="28">
        <v>-16.5</v>
      </c>
      <c r="N15" s="28">
        <v>26.7</v>
      </c>
      <c r="O15" s="28">
        <v>-13.2</v>
      </c>
      <c r="P15" s="29" t="s">
        <v>37</v>
      </c>
      <c r="Q15" s="29" t="s">
        <v>80</v>
      </c>
    </row>
    <row r="16" spans="1:18" s="50" customFormat="1" ht="15" customHeight="1" x14ac:dyDescent="0.25">
      <c r="A16" s="42"/>
      <c r="B16" s="51" t="s">
        <v>449</v>
      </c>
      <c r="C16" s="43">
        <v>0.3</v>
      </c>
      <c r="D16" s="43" t="s">
        <v>12</v>
      </c>
      <c r="E16" s="43">
        <v>0.1</v>
      </c>
      <c r="F16" s="43">
        <v>0.1</v>
      </c>
      <c r="G16" s="43">
        <v>0.2</v>
      </c>
      <c r="H16" s="43">
        <v>0.1</v>
      </c>
      <c r="I16" s="43" t="s">
        <v>12</v>
      </c>
      <c r="J16" s="43">
        <v>-0.1</v>
      </c>
      <c r="K16" s="43">
        <v>-0.2</v>
      </c>
      <c r="L16" s="43">
        <v>-0.4</v>
      </c>
      <c r="M16" s="43">
        <v>-0.3</v>
      </c>
      <c r="N16" s="57"/>
      <c r="O16" s="57"/>
      <c r="P16" s="46"/>
      <c r="Q16" s="46"/>
      <c r="R16" s="45"/>
    </row>
    <row r="17" spans="1:17" s="9" customFormat="1" ht="15" customHeight="1" x14ac:dyDescent="0.25">
      <c r="A17" s="8"/>
      <c r="B17" s="30" t="s">
        <v>57</v>
      </c>
      <c r="C17" s="28">
        <v>1.1000000000000001</v>
      </c>
      <c r="D17" s="28">
        <v>0.9</v>
      </c>
      <c r="E17" s="28">
        <v>1.1000000000000001</v>
      </c>
      <c r="F17" s="28">
        <v>1.7</v>
      </c>
      <c r="G17" s="28">
        <v>2.4</v>
      </c>
      <c r="H17" s="28">
        <v>2.9</v>
      </c>
      <c r="I17" s="28">
        <v>3.1</v>
      </c>
      <c r="J17" s="28">
        <v>3.1</v>
      </c>
      <c r="K17" s="28">
        <v>2.7</v>
      </c>
      <c r="L17" s="28">
        <v>2</v>
      </c>
      <c r="M17" s="28">
        <v>0.8</v>
      </c>
      <c r="N17" s="28">
        <v>4.9000000000000004</v>
      </c>
      <c r="O17" s="28">
        <v>21.9</v>
      </c>
      <c r="P17" s="29" t="s">
        <v>39</v>
      </c>
      <c r="Q17" s="29" t="s">
        <v>460</v>
      </c>
    </row>
    <row r="18" spans="1:17" s="50" customFormat="1" ht="15" customHeight="1" x14ac:dyDescent="0.25">
      <c r="A18" s="42"/>
      <c r="B18" s="51" t="s">
        <v>449</v>
      </c>
      <c r="C18" s="43" t="s">
        <v>12</v>
      </c>
      <c r="D18" s="43" t="s">
        <v>12</v>
      </c>
      <c r="E18" s="43" t="s">
        <v>12</v>
      </c>
      <c r="F18" s="43">
        <v>0.1</v>
      </c>
      <c r="G18" s="43">
        <v>0.1</v>
      </c>
      <c r="H18" s="43">
        <v>0.1</v>
      </c>
      <c r="I18" s="43">
        <v>0.1</v>
      </c>
      <c r="J18" s="43">
        <v>0.1</v>
      </c>
      <c r="K18" s="43">
        <v>0.1</v>
      </c>
      <c r="L18" s="43" t="s">
        <v>12</v>
      </c>
      <c r="M18" s="43" t="s">
        <v>12</v>
      </c>
      <c r="N18" s="57"/>
      <c r="O18" s="57"/>
      <c r="P18" s="46"/>
      <c r="Q18" s="46"/>
    </row>
    <row r="19" spans="1:17" s="9" customFormat="1" ht="15" customHeight="1" x14ac:dyDescent="0.25">
      <c r="A19" s="8"/>
      <c r="B19" s="30" t="s">
        <v>58</v>
      </c>
      <c r="C19" s="28">
        <v>-3.6</v>
      </c>
      <c r="D19" s="28">
        <v>-4.9000000000000004</v>
      </c>
      <c r="E19" s="28">
        <v>8.4</v>
      </c>
      <c r="F19" s="28">
        <v>10.4</v>
      </c>
      <c r="G19" s="28">
        <v>15.4</v>
      </c>
      <c r="H19" s="28">
        <v>2.2999999999999998</v>
      </c>
      <c r="I19" s="28">
        <v>-7.8</v>
      </c>
      <c r="J19" s="28">
        <v>-21.7</v>
      </c>
      <c r="K19" s="28">
        <v>-37.299999999999997</v>
      </c>
      <c r="L19" s="28">
        <v>-54.2</v>
      </c>
      <c r="M19" s="28">
        <v>-69.599999999999994</v>
      </c>
      <c r="N19" s="28">
        <v>21.1</v>
      </c>
      <c r="O19" s="28">
        <v>-151.80000000000001</v>
      </c>
      <c r="P19" s="29" t="s">
        <v>59</v>
      </c>
      <c r="Q19" s="29" t="s">
        <v>461</v>
      </c>
    </row>
    <row r="20" spans="1:17" s="50" customFormat="1" ht="15" customHeight="1" x14ac:dyDescent="0.25">
      <c r="A20" s="42"/>
      <c r="B20" s="51" t="s">
        <v>449</v>
      </c>
      <c r="C20" s="43">
        <v>-0.1</v>
      </c>
      <c r="D20" s="43">
        <v>-0.2</v>
      </c>
      <c r="E20" s="43">
        <v>0.3</v>
      </c>
      <c r="F20" s="43">
        <v>0.3</v>
      </c>
      <c r="G20" s="43">
        <v>0.4</v>
      </c>
      <c r="H20" s="43">
        <v>0.1</v>
      </c>
      <c r="I20" s="43">
        <v>-0.2</v>
      </c>
      <c r="J20" s="43">
        <v>-0.5</v>
      </c>
      <c r="K20" s="43">
        <v>-0.9</v>
      </c>
      <c r="L20" s="43">
        <v>-1.2</v>
      </c>
      <c r="M20" s="43">
        <v>-1.5</v>
      </c>
      <c r="N20" s="57"/>
      <c r="O20" s="57"/>
      <c r="P20" s="46"/>
      <c r="Q20" s="46"/>
    </row>
    <row r="21" spans="1:17" s="9" customFormat="1" ht="15" customHeight="1" x14ac:dyDescent="0.25">
      <c r="A21" s="8"/>
      <c r="B21" s="30" t="s">
        <v>81</v>
      </c>
      <c r="C21" s="28">
        <v>737.7</v>
      </c>
      <c r="D21" s="28">
        <v>776.4</v>
      </c>
      <c r="E21" s="28">
        <v>819.4</v>
      </c>
      <c r="F21" s="28">
        <v>867.4</v>
      </c>
      <c r="G21" s="28">
        <v>918.3</v>
      </c>
      <c r="H21" s="28">
        <v>967</v>
      </c>
      <c r="I21" s="28">
        <v>1017.5</v>
      </c>
      <c r="J21" s="28">
        <v>1069.5999999999999</v>
      </c>
      <c r="K21" s="28">
        <v>1123.5999999999999</v>
      </c>
      <c r="L21" s="28">
        <v>1179.8</v>
      </c>
      <c r="M21" s="28">
        <v>1238.4000000000001</v>
      </c>
      <c r="N21" s="28">
        <v>3201.3</v>
      </c>
      <c r="O21" s="28">
        <v>10715.6</v>
      </c>
      <c r="P21" s="29" t="s">
        <v>61</v>
      </c>
      <c r="Q21" s="29" t="s">
        <v>62</v>
      </c>
    </row>
    <row r="22" spans="1:17" s="50" customFormat="1" ht="15" customHeight="1" x14ac:dyDescent="0.25">
      <c r="A22" s="42"/>
      <c r="B22" s="51" t="s">
        <v>449</v>
      </c>
      <c r="C22" s="43">
        <v>25.6</v>
      </c>
      <c r="D22" s="43">
        <v>25.9</v>
      </c>
      <c r="E22" s="43">
        <v>26</v>
      </c>
      <c r="F22" s="43">
        <v>26.1</v>
      </c>
      <c r="G22" s="43">
        <v>26.3</v>
      </c>
      <c r="H22" s="43">
        <v>26.3</v>
      </c>
      <c r="I22" s="43">
        <v>26.3</v>
      </c>
      <c r="J22" s="43">
        <v>26.3</v>
      </c>
      <c r="K22" s="43">
        <v>26.3</v>
      </c>
      <c r="L22" s="43">
        <v>26.3</v>
      </c>
      <c r="M22" s="43">
        <v>26.3</v>
      </c>
      <c r="N22" s="57"/>
      <c r="O22" s="57"/>
      <c r="P22" s="46"/>
      <c r="Q22" s="46"/>
    </row>
    <row r="23" spans="1:17" ht="15" customHeight="1" x14ac:dyDescent="0.25">
      <c r="B23" s="30" t="s">
        <v>82</v>
      </c>
      <c r="C23" s="28">
        <v>-747.9</v>
      </c>
      <c r="D23" s="28">
        <v>-773.9</v>
      </c>
      <c r="E23" s="28">
        <v>-806.4</v>
      </c>
      <c r="F23" s="28">
        <v>-847.5</v>
      </c>
      <c r="G23" s="28">
        <v>-895.5</v>
      </c>
      <c r="H23" s="28">
        <v>-938.4</v>
      </c>
      <c r="I23" s="28">
        <v>-989.2</v>
      </c>
      <c r="J23" s="28">
        <v>-1047.3</v>
      </c>
      <c r="K23" s="28">
        <v>-1105</v>
      </c>
      <c r="L23" s="28">
        <v>-1164.4000000000001</v>
      </c>
      <c r="M23" s="28">
        <v>-1222.8</v>
      </c>
      <c r="N23" s="28">
        <v>-3165.5</v>
      </c>
      <c r="O23" s="28">
        <v>-10528.1</v>
      </c>
      <c r="P23" s="29" t="s">
        <v>64</v>
      </c>
      <c r="Q23" s="29" t="s">
        <v>65</v>
      </c>
    </row>
    <row r="24" spans="1:17" s="50" customFormat="1" ht="15" customHeight="1" x14ac:dyDescent="0.25">
      <c r="A24" s="42"/>
      <c r="B24" s="51" t="s">
        <v>449</v>
      </c>
      <c r="C24" s="43">
        <v>-26</v>
      </c>
      <c r="D24" s="43">
        <v>-25.9</v>
      </c>
      <c r="E24" s="43">
        <v>-25.6</v>
      </c>
      <c r="F24" s="43">
        <v>-25.5</v>
      </c>
      <c r="G24" s="43">
        <v>-25.6</v>
      </c>
      <c r="H24" s="43">
        <v>-25.5</v>
      </c>
      <c r="I24" s="43">
        <v>-25.5</v>
      </c>
      <c r="J24" s="43">
        <v>-25.7</v>
      </c>
      <c r="K24" s="43">
        <v>-25.9</v>
      </c>
      <c r="L24" s="43">
        <v>-26</v>
      </c>
      <c r="M24" s="43">
        <v>-26</v>
      </c>
      <c r="N24" s="57"/>
      <c r="O24" s="57"/>
      <c r="P24" s="46"/>
      <c r="Q24" s="46"/>
    </row>
    <row r="25" spans="1:17" ht="15" customHeight="1" x14ac:dyDescent="0.25">
      <c r="B25" s="30" t="s">
        <v>66</v>
      </c>
      <c r="C25" s="28">
        <v>-37.6</v>
      </c>
      <c r="D25" s="28">
        <v>-39.5</v>
      </c>
      <c r="E25" s="28">
        <v>-44</v>
      </c>
      <c r="F25" s="28">
        <v>-46.7</v>
      </c>
      <c r="G25" s="28">
        <v>-50.8</v>
      </c>
      <c r="H25" s="28">
        <v>-62.9</v>
      </c>
      <c r="I25" s="28">
        <v>-69.400000000000006</v>
      </c>
      <c r="J25" s="28">
        <v>-76.7</v>
      </c>
      <c r="K25" s="28">
        <v>-76.900000000000006</v>
      </c>
      <c r="L25" s="28">
        <v>-80.7</v>
      </c>
      <c r="M25" s="28">
        <v>-83</v>
      </c>
      <c r="N25" s="28">
        <v>-167.7</v>
      </c>
      <c r="O25" s="28">
        <v>-668</v>
      </c>
      <c r="P25" s="29" t="s">
        <v>67</v>
      </c>
      <c r="Q25" s="29" t="s">
        <v>68</v>
      </c>
    </row>
    <row r="26" spans="1:17" s="45" customFormat="1" ht="15" customHeight="1" x14ac:dyDescent="0.25">
      <c r="A26" s="42"/>
      <c r="B26" s="51" t="s">
        <v>449</v>
      </c>
      <c r="C26" s="43">
        <v>-1.3</v>
      </c>
      <c r="D26" s="43">
        <v>-1.3</v>
      </c>
      <c r="E26" s="43">
        <v>-1.4</v>
      </c>
      <c r="F26" s="43">
        <v>-1.4</v>
      </c>
      <c r="G26" s="43">
        <v>-1.5</v>
      </c>
      <c r="H26" s="43">
        <v>-1.7</v>
      </c>
      <c r="I26" s="43">
        <v>-1.8</v>
      </c>
      <c r="J26" s="43">
        <v>-1.9</v>
      </c>
      <c r="K26" s="43">
        <v>-1.8</v>
      </c>
      <c r="L26" s="43">
        <v>-1.8</v>
      </c>
      <c r="M26" s="43">
        <v>-1.8</v>
      </c>
      <c r="N26" s="57"/>
      <c r="O26" s="57"/>
      <c r="P26" s="46"/>
      <c r="Q26" s="46"/>
    </row>
    <row r="27" spans="1:17" ht="15" customHeight="1" x14ac:dyDescent="0.25">
      <c r="B27" s="30" t="s">
        <v>44</v>
      </c>
      <c r="C27" s="28">
        <v>-47.8</v>
      </c>
      <c r="D27" s="28">
        <v>-37</v>
      </c>
      <c r="E27" s="28">
        <v>-31</v>
      </c>
      <c r="F27" s="28">
        <v>-26.8</v>
      </c>
      <c r="G27" s="28">
        <v>-28</v>
      </c>
      <c r="H27" s="28">
        <v>-34.299999999999997</v>
      </c>
      <c r="I27" s="28">
        <v>-41.1</v>
      </c>
      <c r="J27" s="28">
        <v>-54.4</v>
      </c>
      <c r="K27" s="28">
        <v>-58.2</v>
      </c>
      <c r="L27" s="28">
        <v>-65.3</v>
      </c>
      <c r="M27" s="28">
        <v>-67.3</v>
      </c>
      <c r="N27" s="28">
        <v>-131.9</v>
      </c>
      <c r="O27" s="28">
        <v>-480.5</v>
      </c>
      <c r="P27" s="29" t="s">
        <v>69</v>
      </c>
      <c r="Q27" s="29" t="s">
        <v>462</v>
      </c>
    </row>
    <row r="28" spans="1:17" s="45" customFormat="1" ht="15" customHeight="1" x14ac:dyDescent="0.25">
      <c r="A28" s="42"/>
      <c r="B28" s="51" t="s">
        <v>449</v>
      </c>
      <c r="C28" s="43">
        <v>-1.7</v>
      </c>
      <c r="D28" s="43">
        <v>-1.2</v>
      </c>
      <c r="E28" s="43">
        <v>-1</v>
      </c>
      <c r="F28" s="43">
        <v>-0.8</v>
      </c>
      <c r="G28" s="43">
        <v>-0.8</v>
      </c>
      <c r="H28" s="43">
        <v>-0.9</v>
      </c>
      <c r="I28" s="43">
        <v>-1.1000000000000001</v>
      </c>
      <c r="J28" s="43">
        <v>-1.3</v>
      </c>
      <c r="K28" s="43">
        <v>-1.4</v>
      </c>
      <c r="L28" s="43">
        <v>-1.5</v>
      </c>
      <c r="M28" s="43">
        <v>-1.4</v>
      </c>
      <c r="N28" s="57"/>
      <c r="O28" s="57"/>
      <c r="P28" s="46"/>
      <c r="Q28" s="46"/>
    </row>
    <row r="29" spans="1:17" ht="15" customHeight="1" x14ac:dyDescent="0.25"/>
    <row r="30" spans="1:17" ht="15" customHeight="1" x14ac:dyDescent="0.25">
      <c r="B30" s="14" t="s">
        <v>23</v>
      </c>
    </row>
    <row r="31" spans="1:17" ht="15" customHeight="1" x14ac:dyDescent="0.25">
      <c r="B31" s="10" t="s">
        <v>24</v>
      </c>
    </row>
    <row r="32" spans="1:17" ht="15" customHeight="1" x14ac:dyDescent="0.25">
      <c r="B32" s="10" t="s">
        <v>25</v>
      </c>
    </row>
    <row r="33" spans="2:17" ht="15" customHeight="1" x14ac:dyDescent="0.25">
      <c r="B33" s="10" t="s">
        <v>26</v>
      </c>
    </row>
    <row r="34" spans="2:17" ht="15" customHeight="1" x14ac:dyDescent="0.25">
      <c r="B34" s="10" t="s">
        <v>27</v>
      </c>
    </row>
    <row r="35" spans="2:17" ht="15" customHeight="1" x14ac:dyDescent="0.25">
      <c r="B35" s="71" t="s">
        <v>40</v>
      </c>
    </row>
    <row r="36" spans="2:17" ht="15" customHeight="1" x14ac:dyDescent="0.25">
      <c r="B36" s="10" t="s">
        <v>94</v>
      </c>
      <c r="C36" s="76"/>
      <c r="D36" s="76"/>
      <c r="E36" s="76"/>
      <c r="F36" s="76"/>
      <c r="G36" s="76"/>
      <c r="H36" s="76"/>
      <c r="I36" s="76"/>
      <c r="J36" s="76"/>
      <c r="K36" s="76"/>
      <c r="L36" s="76"/>
      <c r="M36" s="76"/>
      <c r="N36" s="76"/>
      <c r="O36" s="76"/>
      <c r="P36" s="77"/>
      <c r="Q36" s="77"/>
    </row>
    <row r="37" spans="2:17" ht="15" customHeight="1" x14ac:dyDescent="0.25">
      <c r="B37" s="10" t="s">
        <v>70</v>
      </c>
    </row>
    <row r="38" spans="2:17" ht="15" customHeight="1" x14ac:dyDescent="0.25">
      <c r="B38" s="10" t="s">
        <v>71</v>
      </c>
    </row>
    <row r="39" spans="2:17" ht="15" customHeight="1" x14ac:dyDescent="0.25">
      <c r="B39" s="10" t="s">
        <v>72</v>
      </c>
    </row>
    <row r="40" spans="2:17" ht="15" customHeight="1" x14ac:dyDescent="0.25"/>
    <row r="41" spans="2:17" ht="15" customHeight="1" x14ac:dyDescent="0.25">
      <c r="B41" s="15" t="s">
        <v>30</v>
      </c>
    </row>
    <row r="42" spans="2:17" ht="12" customHeight="1" x14ac:dyDescent="0.25">
      <c r="P42" s="16"/>
    </row>
    <row r="43" spans="2:17" ht="12" customHeight="1" x14ac:dyDescent="0.25">
      <c r="P43" s="16"/>
    </row>
  </sheetData>
  <hyperlinks>
    <hyperlink ref="B41" location="Contents!A1" display="Back to contents" xr:uid="{46667F40-4DF5-4332-96C2-68915A647743}"/>
  </hyperlinks>
  <pageMargins left="0.25" right="0.25"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EB6EDA1E562554C8C34F68D4DC035CA" ma:contentTypeVersion="15" ma:contentTypeDescription="Create a new document." ma:contentTypeScope="" ma:versionID="2f4845759b67e5a7705257bf5b4787ff">
  <xsd:schema xmlns:xsd="http://www.w3.org/2001/XMLSchema" xmlns:xs="http://www.w3.org/2001/XMLSchema" xmlns:p="http://schemas.microsoft.com/office/2006/metadata/properties" xmlns:ns2="e29dc55c-d7a7-43bd-85f9-92f234156074" xmlns:ns3="d9db0371-25a0-47f6-8e7d-ef6f6e5310f0" targetNamespace="http://schemas.microsoft.com/office/2006/metadata/properties" ma:root="true" ma:fieldsID="1667a96a7b568907f51ea0c66d40127d" ns2:_="" ns3:_="">
    <xsd:import namespace="e29dc55c-d7a7-43bd-85f9-92f234156074"/>
    <xsd:import namespace="d9db0371-25a0-47f6-8e7d-ef6f6e5310f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dc55c-d7a7-43bd-85f9-92f2341560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c6b488f-ba49-416c-8580-f00e8010653a}" ma:internalName="TaxCatchAll" ma:showField="CatchAllData" ma:web="e29dc55c-d7a7-43bd-85f9-92f23415607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db0371-25a0-47f6-8e7d-ef6f6e5310f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29dc55c-d7a7-43bd-85f9-92f234156074">ECR48-541114157-1802</_dlc_DocId>
    <_dlc_DocIdUrl xmlns="e29dc55c-d7a7-43bd-85f9-92f234156074">
      <Url>https://pboprotected.sharepoint.com/sites/ECR48/_layouts/15/DocIdRedir.aspx?ID=ECR48-541114157-1802</Url>
      <Description>ECR48-541114157-1802</Description>
    </_dlc_DocIdUrl>
    <lcf76f155ced4ddcb4097134ff3c332f xmlns="d9db0371-25a0-47f6-8e7d-ef6f6e5310f0">
      <Terms xmlns="http://schemas.microsoft.com/office/infopath/2007/PartnerControls"/>
    </lcf76f155ced4ddcb4097134ff3c332f>
    <TaxCatchAll xmlns="e29dc55c-d7a7-43bd-85f9-92f234156074" xsi:nil="true"/>
  </documentManagement>
</p:properties>
</file>

<file path=customXml/itemProps1.xml><?xml version="1.0" encoding="utf-8"?>
<ds:datastoreItem xmlns:ds="http://schemas.openxmlformats.org/officeDocument/2006/customXml" ds:itemID="{DDDC0D63-B8B5-4FE0-8CE1-096EDBB2F1EC}">
  <ds:schemaRefs>
    <ds:schemaRef ds:uri="http://schemas.microsoft.com/sharepoint/v3/contenttype/forms"/>
  </ds:schemaRefs>
</ds:datastoreItem>
</file>

<file path=customXml/itemProps2.xml><?xml version="1.0" encoding="utf-8"?>
<ds:datastoreItem xmlns:ds="http://schemas.openxmlformats.org/officeDocument/2006/customXml" ds:itemID="{38318B38-47AC-4761-BA46-DBA3D7E2C0EA}">
  <ds:schemaRefs>
    <ds:schemaRef ds:uri="http://schemas.microsoft.com/sharepoint/events"/>
  </ds:schemaRefs>
</ds:datastoreItem>
</file>

<file path=customXml/itemProps3.xml><?xml version="1.0" encoding="utf-8"?>
<ds:datastoreItem xmlns:ds="http://schemas.openxmlformats.org/officeDocument/2006/customXml" ds:itemID="{9CE5C125-DF8B-42E1-BF9A-A620BD3B4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dc55c-d7a7-43bd-85f9-92f234156074"/>
    <ds:schemaRef ds:uri="d9db0371-25a0-47f6-8e7d-ef6f6e531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BF2D6F-A07A-47D1-8ADD-F9B907541D81}">
  <ds:schemaRefs>
    <ds:schemaRef ds:uri="http://www.w3.org/XML/1998/namespace"/>
    <ds:schemaRef ds:uri="d9db0371-25a0-47f6-8e7d-ef6f6e5310f0"/>
    <ds:schemaRef ds:uri="http://purl.org/dc/elements/1.1/"/>
    <ds:schemaRef ds:uri="http://schemas.openxmlformats.org/package/2006/metadata/core-properties"/>
    <ds:schemaRef ds:uri="http://schemas.microsoft.com/office/2006/documentManagement/types"/>
    <ds:schemaRef ds:uri="http://purl.org/dc/terms/"/>
    <ds:schemaRef ds:uri="http://schemas.microsoft.com/office/2006/metadata/properties"/>
    <ds:schemaRef ds:uri="e29dc55c-d7a7-43bd-85f9-92f234156074"/>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2</DocSecurity>
  <ScaleCrop>false</ScaleCrop>
  <HeadingPairs>
    <vt:vector size="2" baseType="variant">
      <vt:variant>
        <vt:lpstr>Worksheets</vt:lpstr>
      </vt:variant>
      <vt:variant>
        <vt:i4>13</vt:i4>
      </vt:variant>
    </vt:vector>
  </HeadingPairs>
  <TitlesOfParts>
    <vt:vector size="13" baseType="lpstr">
      <vt:lpstr>Contents</vt:lpstr>
      <vt:lpstr>Table 1A</vt:lpstr>
      <vt:lpstr>Table 1B</vt:lpstr>
      <vt:lpstr>Table 1C</vt:lpstr>
      <vt:lpstr>Table 2A</vt:lpstr>
      <vt:lpstr>Table 2B</vt:lpstr>
      <vt:lpstr>Table 2C</vt:lpstr>
      <vt:lpstr>Table 3A</vt:lpstr>
      <vt:lpstr>Table 3B</vt:lpstr>
      <vt:lpstr>Table 4A</vt:lpstr>
      <vt:lpstr>Table 4B</vt:lpstr>
      <vt:lpstr>Table 5A</vt:lpstr>
      <vt:lpstr>Table 5B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
  <dcterms:created xsi:type="dcterms:W3CDTF">2025-06-13T03:47:23Z</dcterms:created>
  <dcterms:modified xsi:type="dcterms:W3CDTF">2025-06-20T03:43:20Z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fb5294-db91-4a6a-9144-25e7ea5d809c_ActionId">
    <vt:lpwstr>c5ca800e-6547-418a-95b3-8a19e35bb2fc</vt:lpwstr>
  </property>
  <property fmtid="{D5CDD505-2E9C-101B-9397-08002B2CF9AE}" pid="3" name="MSIP_Label_b7fb5294-db91-4a6a-9144-25e7ea5d809c_ContentBits">
    <vt:lpwstr>3</vt:lpwstr>
  </property>
  <property fmtid="{D5CDD505-2E9C-101B-9397-08002B2CF9AE}" pid="4" name="MediaServiceImageTags">
    <vt:lpwstr/>
  </property>
  <property fmtid="{D5CDD505-2E9C-101B-9397-08002B2CF9AE}" pid="5" name="ContentTypeId">
    <vt:lpwstr>0x0101005EB6EDA1E562554C8C34F68D4DC035CA</vt:lpwstr>
  </property>
  <property fmtid="{D5CDD505-2E9C-101B-9397-08002B2CF9AE}" pid="6" name="MSIP_Label_b7fb5294-db91-4a6a-9144-25e7ea5d809c_Name">
    <vt:lpwstr>Official</vt:lpwstr>
  </property>
  <property fmtid="{D5CDD505-2E9C-101B-9397-08002B2CF9AE}" pid="7" name="Doc_Type_Task">
    <vt:lpwstr>4;#Other|5995c78e-9269-4dd3-85a9-76f942b2ab0d</vt:lpwstr>
  </property>
  <property fmtid="{D5CDD505-2E9C-101B-9397-08002B2CF9AE}" pid="8" name="MSIP_Label_b7fb5294-db91-4a6a-9144-25e7ea5d809c_SiteId">
    <vt:lpwstr>dc2a6fc4-3a5c-4009-8148-25a15ab44bf4</vt:lpwstr>
  </property>
  <property fmtid="{D5CDD505-2E9C-101B-9397-08002B2CF9AE}" pid="9" name="MSIP_Label_b7fb5294-db91-4a6a-9144-25e7ea5d809c_Method">
    <vt:lpwstr>Privileged</vt:lpwstr>
  </property>
  <property fmtid="{D5CDD505-2E9C-101B-9397-08002B2CF9AE}" pid="10" name="MSIP_Label_b7fb5294-db91-4a6a-9144-25e7ea5d809c_Enabled">
    <vt:lpwstr>true</vt:lpwstr>
  </property>
  <property fmtid="{D5CDD505-2E9C-101B-9397-08002B2CF9AE}" pid="11" name="MSIP_Label_b7fb5294-db91-4a6a-9144-25e7ea5d809c_SetDate">
    <vt:lpwstr>2023-05-15T01:53:36Z</vt:lpwstr>
  </property>
  <property fmtid="{D5CDD505-2E9C-101B-9397-08002B2CF9AE}" pid="12" name="TaxCatchAll">
    <vt:lpwstr>4;#Other|5995c78e-9269-4dd3-85a9-76f942b2ab0d</vt:lpwstr>
  </property>
  <property fmtid="{D5CDD505-2E9C-101B-9397-08002B2CF9AE}" pid="13" name="m94eabc5b54a4d17a6bdd53d57e89c6c">
    <vt:lpwstr>Other|5995c78e-9269-4dd3-85a9-76f942b2ab0d</vt:lpwstr>
  </property>
  <property fmtid="{D5CDD505-2E9C-101B-9397-08002B2CF9AE}" pid="14" name="_dlc_DocIdItemGuid">
    <vt:lpwstr>f5a33c10-e7e1-4e59-a8ec-816ce7941088</vt:lpwstr>
  </property>
</Properties>
</file>